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8135" windowHeight="11700" activeTab="0"/>
  </bookViews>
  <sheets>
    <sheet name="Tabela_11_6_29_19_9_17_9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<sst xmlns="http://schemas.openxmlformats.org/spreadsheetml/2006/main" count="9" uniqueCount="9">
  <si>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Versão:</t>
  </si>
  <si>
    <t>V00554</t>
  </si>
  <si>
    <t>Classificação portuguesa das actividades económicas, revisão 3</t>
  </si>
  <si>
    <t>Data de execução:</t>
  </si>
  <si>
    <t>Nível</t>
  </si>
  <si>
    <t>Código</t>
  </si>
  <si>
    <t>Designação</t>
  </si>
  <si>
    <t xml:space="preserve">Fonte: </t>
  </si>
  <si>
    <t>http://www.ine.pt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</si>
</sst>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9"/>
      <color theme="1"/>
      <name val="Trebuchet MS"/>
      <family val="2"/>
    </font>
    <font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17"/>
      <name val="Trebuchet MS"/>
      <family val="2"/>
    </font>
    <font>
      <sz val="9"/>
      <color indexed="20"/>
      <name val="Trebuchet MS"/>
      <family val="2"/>
    </font>
    <font>
      <sz val="9"/>
      <color indexed="60"/>
      <name val="Trebuchet MS"/>
      <family val="2"/>
    </font>
    <font>
      <sz val="9"/>
      <color indexed="62"/>
      <name val="Trebuchet MS"/>
      <family val="2"/>
    </font>
    <font>
      <b/>
      <sz val="9"/>
      <color indexed="63"/>
      <name val="Trebuchet MS"/>
      <family val="2"/>
    </font>
    <font>
      <b/>
      <sz val="9"/>
      <color indexed="52"/>
      <name val="Trebuchet MS"/>
      <family val="2"/>
    </font>
    <font>
      <sz val="9"/>
      <color indexed="52"/>
      <name val="Trebuchet MS"/>
      <family val="2"/>
    </font>
    <font>
      <b/>
      <sz val="9"/>
      <color indexed="9"/>
      <name val="Trebuchet MS"/>
      <family val="2"/>
    </font>
    <font>
      <sz val="9"/>
      <color indexed="10"/>
      <name val="Trebuchet MS"/>
      <family val="2"/>
    </font>
    <font>
      <i/>
      <sz val="9"/>
      <color indexed="23"/>
      <name val="Trebuchet MS"/>
      <family val="2"/>
    </font>
    <font>
      <b/>
      <sz val="9"/>
      <color indexed="8"/>
      <name val="Trebuchet MS"/>
      <family val="2"/>
    </font>
    <font>
      <sz val="9"/>
      <color indexed="9"/>
      <name val="Trebuchet MS"/>
      <family val="2"/>
    </font>
    <font>
      <u val="single"/>
      <sz val="9"/>
      <color indexed="12"/>
      <name val="Trebuchet MS"/>
      <family val="2"/>
    </font>
    <font>
      <sz val="9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9"/>
      <color rgb="FFFA7D00"/>
      <name val="Trebuchet MS"/>
      <family val="2"/>
    </font>
    <font>
      <sz val="9"/>
      <color rgb="FFFA7D00"/>
      <name val="Trebuchet MS"/>
      <family val="2"/>
    </font>
    <font>
      <sz val="9"/>
      <color rgb="FF006100"/>
      <name val="Trebuchet MS"/>
      <family val="2"/>
    </font>
    <font>
      <sz val="9"/>
      <color rgb="FF3F3F76"/>
      <name val="Trebuchet MS"/>
      <family val="2"/>
    </font>
    <font>
      <u val="single"/>
      <sz val="9"/>
      <color theme="10"/>
      <name val="Trebuchet MS"/>
      <family val="2"/>
    </font>
    <font>
      <sz val="9"/>
      <color rgb="FF9C0006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sz val="9"/>
      <color rgb="FFFF0000"/>
      <name val="Trebuchet MS"/>
      <family val="2"/>
    </font>
    <font>
      <i/>
      <sz val="9"/>
      <color rgb="FF7F7F7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b/>
      <sz val="9"/>
      <color theme="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0" fillId="20" borderId="7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7" fillId="0" borderId="0" xfId="47" applyAlignment="1" applyProtection="1">
      <alignment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52"/>
  <sheetViews>
    <sheetView tabSelected="1" zoomScalePageLayoutView="0" workbookViewId="0" topLeftCell="A1">
      <selection activeCell="C15" sqref="C15"/>
    </sheetView>
  </sheetViews>
  <sheetFormatPr defaultColWidth="9.33203125" defaultRowHeight="15"/>
  <cols>
    <col min="2" max="2" width="12.5" style="0" customWidth="1"/>
    <col min="3" max="3" width="31.16015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2" ht="15">
      <c r="A2" t="s">
        <v>3</v>
      </c>
      <c r="B2" s="1">
        <v>40723</v>
      </c>
    </row>
    <row r="3" spans="1:2" ht="15">
      <c r="A3" t="s">
        <v>7</v>
      </c>
      <c r="B3" s="2" t="s">
        <v>8</v>
      </c>
    </row>
    <row r="4" ht="15">
      <c r="B4" s="2"/>
    </row>
    <row r="5" spans="1:3" ht="15">
      <c r="A5" t="s">
        <v>4</v>
      </c>
      <c r="B5" t="s">
        <v>5</v>
      </c>
      <c r="C5" t="s">
        <v>6</v>
      </c>
    </row>
    <row r="6" spans="1:3" ht="15">
      <c r="A6">
        <v>1</v>
      </c>
      <c r="B6" t="str">
        <f>"A"</f>
        <v>A</v>
      </c>
      <c r="C6" t="str">
        <f>"Agricultura, produção animal, caça,  floresta e pesca"</f>
        <v>Agricultura, produção animal, caça,  floresta e pesca</v>
      </c>
    </row>
    <row r="7" spans="1:3" ht="15">
      <c r="A7">
        <v>2</v>
      </c>
      <c r="B7" t="str">
        <f>"01"</f>
        <v>01</v>
      </c>
      <c r="C7" t="str">
        <f>"Agricultura, produção animal, caça e actividades dos serviços relacionados"</f>
        <v>Agricultura, produção animal, caça e actividades dos serviços relacionados</v>
      </c>
    </row>
    <row r="8" spans="1:3" ht="15">
      <c r="A8">
        <v>3</v>
      </c>
      <c r="B8" t="str">
        <f>"011"</f>
        <v>011</v>
      </c>
      <c r="C8" t="str">
        <f>"Culturas temporárias"</f>
        <v>Culturas temporárias</v>
      </c>
    </row>
    <row r="9" spans="1:3" ht="15">
      <c r="A9">
        <v>4</v>
      </c>
      <c r="B9" t="str">
        <f>"0111"</f>
        <v>0111</v>
      </c>
      <c r="C9" t="str">
        <f>"Cerealicultura (excepto arroz), leguminosas secas e sementes oleaginosas"</f>
        <v>Cerealicultura (excepto arroz), leguminosas secas e sementes oleaginosas</v>
      </c>
    </row>
    <row r="10" spans="1:3" ht="15">
      <c r="A10">
        <v>5</v>
      </c>
      <c r="B10" t="str">
        <f>"01111"</f>
        <v>01111</v>
      </c>
      <c r="C10" t="str">
        <f>"Cerealicultura (excepto arroz)"</f>
        <v>Cerealicultura (excepto arroz)</v>
      </c>
    </row>
    <row r="11" spans="1:3" ht="15">
      <c r="A11">
        <v>5</v>
      </c>
      <c r="B11" t="str">
        <f>"01112"</f>
        <v>01112</v>
      </c>
      <c r="C11" t="str">
        <f>"Cultura de leguminosas secas e sementes oleaginosas"</f>
        <v>Cultura de leguminosas secas e sementes oleaginosas</v>
      </c>
    </row>
    <row r="12" spans="1:3" ht="15">
      <c r="A12">
        <v>4</v>
      </c>
      <c r="B12" t="str">
        <f>"0112"</f>
        <v>0112</v>
      </c>
      <c r="C12" t="str">
        <f>"Cultura de arroz"</f>
        <v>Cultura de arroz</v>
      </c>
    </row>
    <row r="13" spans="1:3" ht="15">
      <c r="A13">
        <v>5</v>
      </c>
      <c r="B13" t="str">
        <f>"01120"</f>
        <v>01120</v>
      </c>
      <c r="C13" t="str">
        <f>"Cultura de arroz"</f>
        <v>Cultura de arroz</v>
      </c>
    </row>
    <row r="14" spans="1:3" ht="15">
      <c r="A14">
        <v>4</v>
      </c>
      <c r="B14" t="str">
        <f>"0113"</f>
        <v>0113</v>
      </c>
      <c r="C14" t="str">
        <f>"Culturas de produtos hortícolas,  raízes e tubérculos"</f>
        <v>Culturas de produtos hortícolas,  raízes e tubérculos</v>
      </c>
    </row>
    <row r="15" spans="1:3" ht="15">
      <c r="A15">
        <v>5</v>
      </c>
      <c r="B15" t="str">
        <f>"01130"</f>
        <v>01130</v>
      </c>
      <c r="C15" t="str">
        <f>"Culturas de produtos hortícolas, raízes e tubérculos"</f>
        <v>Culturas de produtos hortícolas, raízes e tubérculos</v>
      </c>
    </row>
    <row r="16" spans="1:3" ht="15">
      <c r="A16">
        <v>4</v>
      </c>
      <c r="B16" t="str">
        <f>"0114"</f>
        <v>0114</v>
      </c>
      <c r="C16" t="str">
        <f>"Cultura de cana-de-açúcar"</f>
        <v>Cultura de cana-de-açúcar</v>
      </c>
    </row>
    <row r="17" spans="1:3" ht="15">
      <c r="A17">
        <v>5</v>
      </c>
      <c r="B17" t="str">
        <f>"01140"</f>
        <v>01140</v>
      </c>
      <c r="C17" t="str">
        <f>"Cultura de cana-de-açúcar"</f>
        <v>Cultura de cana-de-açúcar</v>
      </c>
    </row>
    <row r="18" spans="1:3" ht="15">
      <c r="A18">
        <v>4</v>
      </c>
      <c r="B18" t="str">
        <f>"0115"</f>
        <v>0115</v>
      </c>
      <c r="C18" t="str">
        <f>"Cultura de tabaco"</f>
        <v>Cultura de tabaco</v>
      </c>
    </row>
    <row r="19" spans="1:3" ht="15">
      <c r="A19">
        <v>5</v>
      </c>
      <c r="B19" t="str">
        <f>"01150"</f>
        <v>01150</v>
      </c>
      <c r="C19" t="str">
        <f>"Cultura de tabaco"</f>
        <v>Cultura de tabaco</v>
      </c>
    </row>
    <row r="20" spans="1:3" ht="15">
      <c r="A20">
        <v>4</v>
      </c>
      <c r="B20" t="str">
        <f>"0116"</f>
        <v>0116</v>
      </c>
      <c r="C20" t="str">
        <f>"Cultura de plantas têxteis"</f>
        <v>Cultura de plantas têxteis</v>
      </c>
    </row>
    <row r="21" spans="1:3" ht="15">
      <c r="A21">
        <v>5</v>
      </c>
      <c r="B21" t="str">
        <f>"01160"</f>
        <v>01160</v>
      </c>
      <c r="C21" t="str">
        <f>"Cultura de plantas têxteis"</f>
        <v>Cultura de plantas têxteis</v>
      </c>
    </row>
    <row r="22" spans="1:3" ht="15">
      <c r="A22">
        <v>4</v>
      </c>
      <c r="B22" t="str">
        <f>"0119"</f>
        <v>0119</v>
      </c>
      <c r="C22" t="str">
        <f>"Outras culturas temporárias"</f>
        <v>Outras culturas temporárias</v>
      </c>
    </row>
    <row r="23" spans="1:3" ht="15">
      <c r="A23">
        <v>5</v>
      </c>
      <c r="B23" t="str">
        <f>"01191"</f>
        <v>01191</v>
      </c>
      <c r="C23" t="str">
        <f>"Cultura de flores e de plantas ornamentais"</f>
        <v>Cultura de flores e de plantas ornamentais</v>
      </c>
    </row>
    <row r="24" spans="1:3" ht="15">
      <c r="A24">
        <v>5</v>
      </c>
      <c r="B24" t="str">
        <f>"01192"</f>
        <v>01192</v>
      </c>
      <c r="C24" t="str">
        <f>"Outras culturas temporárias, n.e."</f>
        <v>Outras culturas temporárias, n.e.</v>
      </c>
    </row>
    <row r="25" spans="1:3" ht="15">
      <c r="A25">
        <v>3</v>
      </c>
      <c r="B25" t="str">
        <f>"012"</f>
        <v>012</v>
      </c>
      <c r="C25" t="str">
        <f>"Culturas permanentes"</f>
        <v>Culturas permanentes</v>
      </c>
    </row>
    <row r="26" spans="1:3" ht="15">
      <c r="A26">
        <v>4</v>
      </c>
      <c r="B26" t="str">
        <f>"0121"</f>
        <v>0121</v>
      </c>
      <c r="C26" t="str">
        <f>"Viticultura"</f>
        <v>Viticultura</v>
      </c>
    </row>
    <row r="27" spans="1:3" ht="15">
      <c r="A27">
        <v>5</v>
      </c>
      <c r="B27" t="str">
        <f>"01210"</f>
        <v>01210</v>
      </c>
      <c r="C27" t="str">
        <f>"Viticultura"</f>
        <v>Viticultura</v>
      </c>
    </row>
    <row r="28" spans="1:3" ht="15">
      <c r="A28">
        <v>4</v>
      </c>
      <c r="B28" t="str">
        <f>"0122"</f>
        <v>0122</v>
      </c>
      <c r="C28" t="str">
        <f>"Cultura de frutos tropicais e subtropicais"</f>
        <v>Cultura de frutos tropicais e subtropicais</v>
      </c>
    </row>
    <row r="29" spans="1:3" ht="15">
      <c r="A29">
        <v>5</v>
      </c>
      <c r="B29" t="str">
        <f>"01220"</f>
        <v>01220</v>
      </c>
      <c r="C29" t="str">
        <f>"Cultura de frutos tropicais e subtropicais"</f>
        <v>Cultura de frutos tropicais e subtropicais</v>
      </c>
    </row>
    <row r="30" spans="1:3" ht="15">
      <c r="A30">
        <v>4</v>
      </c>
      <c r="B30" t="str">
        <f>"0123"</f>
        <v>0123</v>
      </c>
      <c r="C30" t="str">
        <f>"Cultura de citrinos"</f>
        <v>Cultura de citrinos</v>
      </c>
    </row>
    <row r="31" spans="1:3" ht="15">
      <c r="A31">
        <v>5</v>
      </c>
      <c r="B31" t="str">
        <f>"01230"</f>
        <v>01230</v>
      </c>
      <c r="C31" t="str">
        <f>"Cultura de citrinos"</f>
        <v>Cultura de citrinos</v>
      </c>
    </row>
    <row r="32" spans="1:3" ht="15">
      <c r="A32">
        <v>4</v>
      </c>
      <c r="B32" t="str">
        <f>"0124"</f>
        <v>0124</v>
      </c>
      <c r="C32" t="str">
        <f>"Cultura de pomóideas e prunóideas"</f>
        <v>Cultura de pomóideas e prunóideas</v>
      </c>
    </row>
    <row r="33" spans="1:3" ht="15">
      <c r="A33">
        <v>5</v>
      </c>
      <c r="B33" t="str">
        <f>"01240"</f>
        <v>01240</v>
      </c>
      <c r="C33" t="str">
        <f>"Cultura de pomóideas e prunóideas"</f>
        <v>Cultura de pomóideas e prunóideas</v>
      </c>
    </row>
    <row r="34" spans="1:3" ht="15">
      <c r="A34">
        <v>4</v>
      </c>
      <c r="B34" t="str">
        <f>"0125"</f>
        <v>0125</v>
      </c>
      <c r="C34" t="str">
        <f>"Cultura de outros frutos(inclui casca rija), em árvores e arbustos"</f>
        <v>Cultura de outros frutos(inclui casca rija), em árvores e arbustos</v>
      </c>
    </row>
    <row r="35" spans="1:3" ht="15">
      <c r="A35">
        <v>5</v>
      </c>
      <c r="B35" t="str">
        <f>"01251"</f>
        <v>01251</v>
      </c>
      <c r="C35" t="str">
        <f>"Cultura de frutos de casca rija"</f>
        <v>Cultura de frutos de casca rija</v>
      </c>
    </row>
    <row r="36" spans="1:3" ht="15">
      <c r="A36">
        <v>5</v>
      </c>
      <c r="B36" t="str">
        <f>"01252"</f>
        <v>01252</v>
      </c>
      <c r="C36" t="str">
        <f>"Cultura de outros frutos em árvores e arbustos"</f>
        <v>Cultura de outros frutos em árvores e arbustos</v>
      </c>
    </row>
    <row r="37" spans="1:3" ht="15">
      <c r="A37">
        <v>4</v>
      </c>
      <c r="B37" t="str">
        <f>"0126"</f>
        <v>0126</v>
      </c>
      <c r="C37" t="str">
        <f>"Cultura de frutos oleaginosos"</f>
        <v>Cultura de frutos oleaginosos</v>
      </c>
    </row>
    <row r="38" spans="1:3" ht="15">
      <c r="A38">
        <v>5</v>
      </c>
      <c r="B38" t="str">
        <f>"01261"</f>
        <v>01261</v>
      </c>
      <c r="C38" t="str">
        <f>"Olivicultura"</f>
        <v>Olivicultura</v>
      </c>
    </row>
    <row r="39" spans="1:3" ht="15">
      <c r="A39">
        <v>5</v>
      </c>
      <c r="B39" t="str">
        <f>"01262"</f>
        <v>01262</v>
      </c>
      <c r="C39" t="str">
        <f>"Cultura de outros frutos oleaginosos"</f>
        <v>Cultura de outros frutos oleaginosos</v>
      </c>
    </row>
    <row r="40" spans="1:3" ht="15">
      <c r="A40">
        <v>4</v>
      </c>
      <c r="B40" t="str">
        <f>"0127"</f>
        <v>0127</v>
      </c>
      <c r="C40" t="str">
        <f>"Cultura de plantas destinadas à preparação de bebidas"</f>
        <v>Cultura de plantas destinadas à preparação de bebidas</v>
      </c>
    </row>
    <row r="41" spans="1:3" ht="15">
      <c r="A41">
        <v>5</v>
      </c>
      <c r="B41" t="str">
        <f>"01270"</f>
        <v>01270</v>
      </c>
      <c r="C41" t="str">
        <f>"Cultura de plantas destinadas à preparação de bebidas"</f>
        <v>Cultura de plantas destinadas à preparação de bebidas</v>
      </c>
    </row>
    <row r="42" spans="1:3" ht="15">
      <c r="A42">
        <v>4</v>
      </c>
      <c r="B42" t="str">
        <f>"0128"</f>
        <v>0128</v>
      </c>
      <c r="C42" t="str">
        <f>"Cultura de especiarias, plantas aromáticas, medicinais e farmacêuticas"</f>
        <v>Cultura de especiarias, plantas aromáticas, medicinais e farmacêuticas</v>
      </c>
    </row>
    <row r="43" spans="1:3" ht="15">
      <c r="A43">
        <v>5</v>
      </c>
      <c r="B43" t="str">
        <f>"01280"</f>
        <v>01280</v>
      </c>
      <c r="C43" t="str">
        <f>"Cultura de especiarias, plantas aromáticas, medicinais e farmacêuticas"</f>
        <v>Cultura de especiarias, plantas aromáticas, medicinais e farmacêuticas</v>
      </c>
    </row>
    <row r="44" spans="1:3" ht="15">
      <c r="A44">
        <v>4</v>
      </c>
      <c r="B44" t="str">
        <f>"0129"</f>
        <v>0129</v>
      </c>
      <c r="C44" t="str">
        <f>"Outras culturas permanentes"</f>
        <v>Outras culturas permanentes</v>
      </c>
    </row>
    <row r="45" spans="1:3" ht="15">
      <c r="A45">
        <v>5</v>
      </c>
      <c r="B45" t="str">
        <f>"01290"</f>
        <v>01290</v>
      </c>
      <c r="C45" t="str">
        <f>"Outras culturas permanentes"</f>
        <v>Outras culturas permanentes</v>
      </c>
    </row>
    <row r="46" spans="1:3" ht="15">
      <c r="A46">
        <v>3</v>
      </c>
      <c r="B46" t="str">
        <f>"013"</f>
        <v>013</v>
      </c>
      <c r="C46" t="str">
        <f>"Cultura de materiais de propagação vegetativa"</f>
        <v>Cultura de materiais de propagação vegetativa</v>
      </c>
    </row>
    <row r="47" spans="1:3" ht="15">
      <c r="A47">
        <v>4</v>
      </c>
      <c r="B47" t="str">
        <f>"0130"</f>
        <v>0130</v>
      </c>
      <c r="C47" t="str">
        <f>"Cultura de materiais de propagação vegetativa"</f>
        <v>Cultura de materiais de propagação vegetativa</v>
      </c>
    </row>
    <row r="48" spans="1:3" ht="15">
      <c r="A48">
        <v>5</v>
      </c>
      <c r="B48" t="str">
        <f>"01300"</f>
        <v>01300</v>
      </c>
      <c r="C48" t="str">
        <f>"Cultura de materiais de propagação vegetativa"</f>
        <v>Cultura de materiais de propagação vegetativa</v>
      </c>
    </row>
    <row r="49" spans="1:3" ht="15">
      <c r="A49">
        <v>3</v>
      </c>
      <c r="B49" t="str">
        <f>"014"</f>
        <v>014</v>
      </c>
      <c r="C49" t="str">
        <f>"Produção animal"</f>
        <v>Produção animal</v>
      </c>
    </row>
    <row r="50" spans="1:3" ht="15">
      <c r="A50">
        <v>4</v>
      </c>
      <c r="B50" t="str">
        <f>"0141"</f>
        <v>0141</v>
      </c>
      <c r="C50" t="str">
        <f>"Criação de bovinos para produção de leite"</f>
        <v>Criação de bovinos para produção de leite</v>
      </c>
    </row>
    <row r="51" spans="1:3" ht="15">
      <c r="A51">
        <v>5</v>
      </c>
      <c r="B51" t="str">
        <f>"01410"</f>
        <v>01410</v>
      </c>
      <c r="C51" t="str">
        <f>"Criação de bovinos para produção de leite"</f>
        <v>Criação de bovinos para produção de leite</v>
      </c>
    </row>
    <row r="52" spans="1:3" ht="15">
      <c r="A52">
        <v>4</v>
      </c>
      <c r="B52" t="str">
        <f>"0142"</f>
        <v>0142</v>
      </c>
      <c r="C52" t="str">
        <f>"Criação de outros bovinos (excepto para produção de leite) e búfalos"</f>
        <v>Criação de outros bovinos (excepto para produção de leite) e búfalos</v>
      </c>
    </row>
    <row r="53" spans="1:3" ht="15">
      <c r="A53">
        <v>5</v>
      </c>
      <c r="B53" t="str">
        <f>"01420"</f>
        <v>01420</v>
      </c>
      <c r="C53" t="str">
        <f>"Criação de outros bovinos (excepto para produção de leite) e búfalos"</f>
        <v>Criação de outros bovinos (excepto para produção de leite) e búfalos</v>
      </c>
    </row>
    <row r="54" spans="1:3" ht="15">
      <c r="A54">
        <v>4</v>
      </c>
      <c r="B54" t="str">
        <f>"0143"</f>
        <v>0143</v>
      </c>
      <c r="C54" t="str">
        <f>"Criação de equinos, asininos e muares"</f>
        <v>Criação de equinos, asininos e muares</v>
      </c>
    </row>
    <row r="55" spans="1:3" ht="15">
      <c r="A55">
        <v>5</v>
      </c>
      <c r="B55" t="str">
        <f>"01430"</f>
        <v>01430</v>
      </c>
      <c r="C55" t="str">
        <f>"Criação de equinos, asininos e muares"</f>
        <v>Criação de equinos, asininos e muares</v>
      </c>
    </row>
    <row r="56" spans="1:3" ht="15">
      <c r="A56">
        <v>4</v>
      </c>
      <c r="B56" t="str">
        <f>"0144"</f>
        <v>0144</v>
      </c>
      <c r="C56" t="str">
        <f>"Criação de camelos e camelídeos"</f>
        <v>Criação de camelos e camelídeos</v>
      </c>
    </row>
    <row r="57" spans="1:3" ht="15">
      <c r="A57">
        <v>5</v>
      </c>
      <c r="B57" t="str">
        <f>"01440"</f>
        <v>01440</v>
      </c>
      <c r="C57" t="str">
        <f>"Criação de camelos e camelídeos"</f>
        <v>Criação de camelos e camelídeos</v>
      </c>
    </row>
    <row r="58" spans="1:3" ht="15">
      <c r="A58">
        <v>4</v>
      </c>
      <c r="B58" t="str">
        <f>"0145"</f>
        <v>0145</v>
      </c>
      <c r="C58" t="str">
        <f>"Criação de ovinos e caprinos"</f>
        <v>Criação de ovinos e caprinos</v>
      </c>
    </row>
    <row r="59" spans="1:3" ht="15">
      <c r="A59">
        <v>5</v>
      </c>
      <c r="B59" t="str">
        <f>"01450"</f>
        <v>01450</v>
      </c>
      <c r="C59" t="str">
        <f>"Criação de ovinos e caprinos"</f>
        <v>Criação de ovinos e caprinos</v>
      </c>
    </row>
    <row r="60" spans="1:3" ht="15">
      <c r="A60">
        <v>4</v>
      </c>
      <c r="B60" t="str">
        <f>"0146"</f>
        <v>0146</v>
      </c>
      <c r="C60" t="str">
        <f>"Suinicultura"</f>
        <v>Suinicultura</v>
      </c>
    </row>
    <row r="61" spans="1:3" ht="15">
      <c r="A61">
        <v>5</v>
      </c>
      <c r="B61" t="str">
        <f>"01460"</f>
        <v>01460</v>
      </c>
      <c r="C61" t="str">
        <f>"Suinicultura"</f>
        <v>Suinicultura</v>
      </c>
    </row>
    <row r="62" spans="1:3" ht="15">
      <c r="A62">
        <v>4</v>
      </c>
      <c r="B62" t="str">
        <f>"0147"</f>
        <v>0147</v>
      </c>
      <c r="C62" t="str">
        <f>"Avicultura"</f>
        <v>Avicultura</v>
      </c>
    </row>
    <row r="63" spans="1:3" ht="15">
      <c r="A63">
        <v>5</v>
      </c>
      <c r="B63" t="str">
        <f>"01470"</f>
        <v>01470</v>
      </c>
      <c r="C63" t="str">
        <f>"Avicultura"</f>
        <v>Avicultura</v>
      </c>
    </row>
    <row r="64" spans="1:3" ht="15">
      <c r="A64">
        <v>4</v>
      </c>
      <c r="B64" t="str">
        <f>"0149"</f>
        <v>0149</v>
      </c>
      <c r="C64" t="str">
        <f>"Outra produção animal"</f>
        <v>Outra produção animal</v>
      </c>
    </row>
    <row r="65" spans="1:3" ht="15">
      <c r="A65">
        <v>5</v>
      </c>
      <c r="B65" t="str">
        <f>"01491"</f>
        <v>01491</v>
      </c>
      <c r="C65" t="str">
        <f>"Apicultura"</f>
        <v>Apicultura</v>
      </c>
    </row>
    <row r="66" spans="1:3" ht="15">
      <c r="A66">
        <v>5</v>
      </c>
      <c r="B66" t="str">
        <f>"01492"</f>
        <v>01492</v>
      </c>
      <c r="C66" t="str">
        <f>"Cunicultura"</f>
        <v>Cunicultura</v>
      </c>
    </row>
    <row r="67" spans="1:3" ht="15">
      <c r="A67">
        <v>5</v>
      </c>
      <c r="B67" t="str">
        <f>"01493"</f>
        <v>01493</v>
      </c>
      <c r="C67" t="str">
        <f>"Criação de animais de companhia"</f>
        <v>Criação de animais de companhia</v>
      </c>
    </row>
    <row r="68" spans="1:3" ht="15">
      <c r="A68">
        <v>5</v>
      </c>
      <c r="B68" t="str">
        <f>"01494"</f>
        <v>01494</v>
      </c>
      <c r="C68" t="str">
        <f>"Outra produção animal, n.e."</f>
        <v>Outra produção animal, n.e.</v>
      </c>
    </row>
    <row r="69" spans="1:3" ht="15">
      <c r="A69">
        <v>3</v>
      </c>
      <c r="B69" t="str">
        <f>"015"</f>
        <v>015</v>
      </c>
      <c r="C69" t="str">
        <f>"Agricultura e produção animal combinadas"</f>
        <v>Agricultura e produção animal combinadas</v>
      </c>
    </row>
    <row r="70" spans="1:3" ht="15">
      <c r="A70">
        <v>4</v>
      </c>
      <c r="B70" t="str">
        <f>"0150"</f>
        <v>0150</v>
      </c>
      <c r="C70" t="str">
        <f>"Agricultura e produção animal combinadas"</f>
        <v>Agricultura e produção animal combinadas</v>
      </c>
    </row>
    <row r="71" spans="1:3" ht="15">
      <c r="A71">
        <v>5</v>
      </c>
      <c r="B71" t="str">
        <f>"01500"</f>
        <v>01500</v>
      </c>
      <c r="C71" t="str">
        <f>"Agricultura e produção animal combinadas"</f>
        <v>Agricultura e produção animal combinadas</v>
      </c>
    </row>
    <row r="72" spans="1:3" ht="15">
      <c r="A72">
        <v>3</v>
      </c>
      <c r="B72" t="str">
        <f>"016"</f>
        <v>016</v>
      </c>
      <c r="C72" t="str">
        <f>"Actividades dos serviços relacionados com a agricultura e com a produção animal"</f>
        <v>Actividades dos serviços relacionados com a agricultura e com a produção animal</v>
      </c>
    </row>
    <row r="73" spans="1:3" ht="15">
      <c r="A73">
        <v>4</v>
      </c>
      <c r="B73" t="str">
        <f>"0161"</f>
        <v>0161</v>
      </c>
      <c r="C73" t="str">
        <f>"Actividades dos serviços relacionados com a agricultura"</f>
        <v>Actividades dos serviços relacionados com a agricultura</v>
      </c>
    </row>
    <row r="74" spans="1:3" ht="15">
      <c r="A74">
        <v>5</v>
      </c>
      <c r="B74" t="str">
        <f>"01610"</f>
        <v>01610</v>
      </c>
      <c r="C74" t="str">
        <f>"Actividades dos serviços relacionados com a agricultura"</f>
        <v>Actividades dos serviços relacionados com a agricultura</v>
      </c>
    </row>
    <row r="75" spans="1:3" ht="15">
      <c r="A75">
        <v>4</v>
      </c>
      <c r="B75" t="str">
        <f>"0162"</f>
        <v>0162</v>
      </c>
      <c r="C75" t="str">
        <f>"Actividades dos serviços relacionados com a produção animal, excepto serviços de veterinária"</f>
        <v>Actividades dos serviços relacionados com a produção animal, excepto serviços de veterinária</v>
      </c>
    </row>
    <row r="76" spans="1:3" ht="15">
      <c r="A76">
        <v>5</v>
      </c>
      <c r="B76" t="str">
        <f>"01620"</f>
        <v>01620</v>
      </c>
      <c r="C76" t="str">
        <f>"Actividades dos serviços relacionados com a produção animal, excepto serviços de veterinária"</f>
        <v>Actividades dos serviços relacionados com a produção animal, excepto serviços de veterinária</v>
      </c>
    </row>
    <row r="77" spans="1:3" ht="15">
      <c r="A77">
        <v>4</v>
      </c>
      <c r="B77" t="str">
        <f>"0163"</f>
        <v>0163</v>
      </c>
      <c r="C77" t="str">
        <f>"Preparação de produtos agrícolas para venda "</f>
        <v>Preparação de produtos agrícolas para venda </v>
      </c>
    </row>
    <row r="78" spans="1:3" ht="15">
      <c r="A78">
        <v>5</v>
      </c>
      <c r="B78" t="str">
        <f>"01630"</f>
        <v>01630</v>
      </c>
      <c r="C78" t="str">
        <f>"Preparação de produtos agrícolas para venda "</f>
        <v>Preparação de produtos agrícolas para venda </v>
      </c>
    </row>
    <row r="79" spans="1:3" ht="15">
      <c r="A79">
        <v>4</v>
      </c>
      <c r="B79" t="str">
        <f>"0164"</f>
        <v>0164</v>
      </c>
      <c r="C79" t="str">
        <f>"Preparação e tratamento de sementes para propagação"</f>
        <v>Preparação e tratamento de sementes para propagação</v>
      </c>
    </row>
    <row r="80" spans="1:3" ht="15">
      <c r="A80">
        <v>5</v>
      </c>
      <c r="B80" t="str">
        <f>"01640"</f>
        <v>01640</v>
      </c>
      <c r="C80" t="str">
        <f>"Preparação e tratamento de sementes para propagação"</f>
        <v>Preparação e tratamento de sementes para propagação</v>
      </c>
    </row>
    <row r="81" spans="1:3" ht="15">
      <c r="A81">
        <v>3</v>
      </c>
      <c r="B81" t="str">
        <f>"017"</f>
        <v>017</v>
      </c>
      <c r="C81" t="str">
        <f>"Caça, repovoamento cinegético  e actividades dos serviços relacionados"</f>
        <v>Caça, repovoamento cinegético  e actividades dos serviços relacionados</v>
      </c>
    </row>
    <row r="82" spans="1:3" ht="15">
      <c r="A82">
        <v>4</v>
      </c>
      <c r="B82" t="str">
        <f>"0170"</f>
        <v>0170</v>
      </c>
      <c r="C82" t="str">
        <f>"Caça, repovoamento cinegético  e actividades dos serviços relacionados"</f>
        <v>Caça, repovoamento cinegético  e actividades dos serviços relacionados</v>
      </c>
    </row>
    <row r="83" spans="1:3" ht="15">
      <c r="A83">
        <v>5</v>
      </c>
      <c r="B83" t="str">
        <f>"01701"</f>
        <v>01701</v>
      </c>
      <c r="C83" t="str">
        <f>"Caça e repovoamento cinegético"</f>
        <v>Caça e repovoamento cinegético</v>
      </c>
    </row>
    <row r="84" spans="1:3" ht="15">
      <c r="A84">
        <v>5</v>
      </c>
      <c r="B84" t="str">
        <f>"01702"</f>
        <v>01702</v>
      </c>
      <c r="C84" t="str">
        <f>"Actividades dos serviços relacionados com a caça e repovoamento cinegético"</f>
        <v>Actividades dos serviços relacionados com a caça e repovoamento cinegético</v>
      </c>
    </row>
    <row r="85" spans="1:3" ht="15">
      <c r="A85">
        <v>2</v>
      </c>
      <c r="B85" t="str">
        <f>"02"</f>
        <v>02</v>
      </c>
      <c r="C85" t="str">
        <f>"Silvicultura e exploração florestal "</f>
        <v>Silvicultura e exploração florestal </v>
      </c>
    </row>
    <row r="86" spans="1:3" ht="15">
      <c r="A86">
        <v>3</v>
      </c>
      <c r="B86" t="str">
        <f>"021"</f>
        <v>021</v>
      </c>
      <c r="C86" t="str">
        <f>"Silvicultura e outras actividades florestais"</f>
        <v>Silvicultura e outras actividades florestais</v>
      </c>
    </row>
    <row r="87" spans="1:3" ht="15">
      <c r="A87">
        <v>4</v>
      </c>
      <c r="B87" t="str">
        <f>"0210"</f>
        <v>0210</v>
      </c>
      <c r="C87" t="str">
        <f>"Silvicultura e outras actividades florestais"</f>
        <v>Silvicultura e outras actividades florestais</v>
      </c>
    </row>
    <row r="88" spans="1:3" ht="15">
      <c r="A88">
        <v>5</v>
      </c>
      <c r="B88" t="str">
        <f>"02100"</f>
        <v>02100</v>
      </c>
      <c r="C88" t="str">
        <f>"Silvicultura e outras actividades florestais"</f>
        <v>Silvicultura e outras actividades florestais</v>
      </c>
    </row>
    <row r="89" spans="1:3" ht="15">
      <c r="A89">
        <v>3</v>
      </c>
      <c r="B89" t="str">
        <f>"022"</f>
        <v>022</v>
      </c>
      <c r="C89" t="str">
        <f>"Exploração florestal"</f>
        <v>Exploração florestal</v>
      </c>
    </row>
    <row r="90" spans="1:3" ht="15">
      <c r="A90">
        <v>4</v>
      </c>
      <c r="B90" t="str">
        <f>"0220"</f>
        <v>0220</v>
      </c>
      <c r="C90" t="str">
        <f>"Exploração florestal"</f>
        <v>Exploração florestal</v>
      </c>
    </row>
    <row r="91" spans="1:3" ht="15">
      <c r="A91">
        <v>5</v>
      </c>
      <c r="B91" t="str">
        <f>"02200"</f>
        <v>02200</v>
      </c>
      <c r="C91" t="str">
        <f>"Exploração florestal"</f>
        <v>Exploração florestal</v>
      </c>
    </row>
    <row r="92" spans="1:3" ht="15">
      <c r="A92">
        <v>3</v>
      </c>
      <c r="B92" t="str">
        <f>"023"</f>
        <v>023</v>
      </c>
      <c r="C92" t="str">
        <f>"Extracção de cortiça, resina e apanha de outros produtos florestais, excepto madeira"</f>
        <v>Extracção de cortiça, resina e apanha de outros produtos florestais, excepto madeira</v>
      </c>
    </row>
    <row r="93" spans="1:3" ht="15">
      <c r="A93">
        <v>4</v>
      </c>
      <c r="B93" t="str">
        <f>"0230"</f>
        <v>0230</v>
      </c>
      <c r="C93" t="str">
        <f>"Extracção de cortiça, resina e apanha de outros produtos florestais, excepto madeira"</f>
        <v>Extracção de cortiça, resina e apanha de outros produtos florestais, excepto madeira</v>
      </c>
    </row>
    <row r="94" spans="1:3" ht="15">
      <c r="A94">
        <v>5</v>
      </c>
      <c r="B94" t="str">
        <f>"02300"</f>
        <v>02300</v>
      </c>
      <c r="C94" t="str">
        <f>"Extracção de cortiça, resina e apanha de outros produtos florestais, excepto madeira"</f>
        <v>Extracção de cortiça, resina e apanha de outros produtos florestais, excepto madeira</v>
      </c>
    </row>
    <row r="95" spans="1:3" ht="15">
      <c r="A95">
        <v>3</v>
      </c>
      <c r="B95" t="str">
        <f>"024"</f>
        <v>024</v>
      </c>
      <c r="C95" t="str">
        <f>"Actividades dos serviços relacionados com a silvicultura e exploração florestal"</f>
        <v>Actividades dos serviços relacionados com a silvicultura e exploração florestal</v>
      </c>
    </row>
    <row r="96" spans="1:3" ht="15">
      <c r="A96">
        <v>4</v>
      </c>
      <c r="B96" t="str">
        <f>"0240"</f>
        <v>0240</v>
      </c>
      <c r="C96" t="str">
        <f>"Actividades dos serviços relacionados com a silvicultura e exploração florestal"</f>
        <v>Actividades dos serviços relacionados com a silvicultura e exploração florestal</v>
      </c>
    </row>
    <row r="97" spans="1:3" ht="15">
      <c r="A97">
        <v>5</v>
      </c>
      <c r="B97" t="str">
        <f>"02400"</f>
        <v>02400</v>
      </c>
      <c r="C97" t="str">
        <f>"Actividades dos serviços relacionados com a silvicultura e exploração florestal"</f>
        <v>Actividades dos serviços relacionados com a silvicultura e exploração florestal</v>
      </c>
    </row>
    <row r="98" spans="1:3" ht="15">
      <c r="A98">
        <v>2</v>
      </c>
      <c r="B98" t="str">
        <f>"03"</f>
        <v>03</v>
      </c>
      <c r="C98" t="str">
        <f>"Pesca e aquicultura"</f>
        <v>Pesca e aquicultura</v>
      </c>
    </row>
    <row r="99" spans="1:3" ht="15">
      <c r="A99">
        <v>3</v>
      </c>
      <c r="B99" t="str">
        <f>"031"</f>
        <v>031</v>
      </c>
      <c r="C99" t="str">
        <f>"Pesca"</f>
        <v>Pesca</v>
      </c>
    </row>
    <row r="100" spans="1:3" ht="15">
      <c r="A100">
        <v>4</v>
      </c>
      <c r="B100" t="str">
        <f>"0311"</f>
        <v>0311</v>
      </c>
      <c r="C100" t="str">
        <f>"Pesca marítima, apanha de algas e de outros produtos do mar"</f>
        <v>Pesca marítima, apanha de algas e de outros produtos do mar</v>
      </c>
    </row>
    <row r="101" spans="1:3" ht="15">
      <c r="A101">
        <v>5</v>
      </c>
      <c r="B101" t="str">
        <f>"03111"</f>
        <v>03111</v>
      </c>
      <c r="C101" t="str">
        <f>"Pesca marítima "</f>
        <v>Pesca marítima </v>
      </c>
    </row>
    <row r="102" spans="1:3" ht="15">
      <c r="A102">
        <v>5</v>
      </c>
      <c r="B102" t="str">
        <f>"03112"</f>
        <v>03112</v>
      </c>
      <c r="C102" t="str">
        <f>"Apanha de algas e de outros produtos do mar"</f>
        <v>Apanha de algas e de outros produtos do mar</v>
      </c>
    </row>
    <row r="103" spans="1:3" ht="15">
      <c r="A103">
        <v>4</v>
      </c>
      <c r="B103" t="str">
        <f>"0312"</f>
        <v>0312</v>
      </c>
      <c r="C103" t="str">
        <f>"Pesca em águas interiores e apanha  produtos de águas interiores"</f>
        <v>Pesca em águas interiores e apanha  produtos de águas interiores</v>
      </c>
    </row>
    <row r="104" spans="1:3" ht="15">
      <c r="A104">
        <v>5</v>
      </c>
      <c r="B104" t="str">
        <f>"03121"</f>
        <v>03121</v>
      </c>
      <c r="C104" t="str">
        <f>"Pesca em águas interiores"</f>
        <v>Pesca em águas interiores</v>
      </c>
    </row>
    <row r="105" spans="1:3" ht="15">
      <c r="A105">
        <v>5</v>
      </c>
      <c r="B105" t="str">
        <f>"03122"</f>
        <v>03122</v>
      </c>
      <c r="C105" t="str">
        <f>"Apanha de produtos de águas interiores"</f>
        <v>Apanha de produtos de águas interiores</v>
      </c>
    </row>
    <row r="106" spans="1:3" ht="15">
      <c r="A106">
        <v>3</v>
      </c>
      <c r="B106" t="str">
        <f>"032"</f>
        <v>032</v>
      </c>
      <c r="C106" t="str">
        <f>"Aquicultura"</f>
        <v>Aquicultura</v>
      </c>
    </row>
    <row r="107" spans="1:3" ht="15">
      <c r="A107">
        <v>4</v>
      </c>
      <c r="B107" t="str">
        <f>"0321"</f>
        <v>0321</v>
      </c>
      <c r="C107" t="str">
        <f>"Aquicultura em águas salgadas e salobras"</f>
        <v>Aquicultura em águas salgadas e salobras</v>
      </c>
    </row>
    <row r="108" spans="1:3" ht="15">
      <c r="A108">
        <v>5</v>
      </c>
      <c r="B108" t="str">
        <f>"03210"</f>
        <v>03210</v>
      </c>
      <c r="C108" t="str">
        <f>"Aquicultura em águas salgadas e salobras"</f>
        <v>Aquicultura em águas salgadas e salobras</v>
      </c>
    </row>
    <row r="109" spans="1:3" ht="15">
      <c r="A109">
        <v>4</v>
      </c>
      <c r="B109" t="str">
        <f>"0322"</f>
        <v>0322</v>
      </c>
      <c r="C109" t="str">
        <f>"Aquicultura em águas doces"</f>
        <v>Aquicultura em águas doces</v>
      </c>
    </row>
    <row r="110" spans="1:3" ht="15">
      <c r="A110">
        <v>5</v>
      </c>
      <c r="B110" t="str">
        <f>"03220"</f>
        <v>03220</v>
      </c>
      <c r="C110" t="str">
        <f>"Aquicultura em águas doces"</f>
        <v>Aquicultura em águas doces</v>
      </c>
    </row>
    <row r="111" spans="1:3" ht="15">
      <c r="A111">
        <v>1</v>
      </c>
      <c r="B111" t="str">
        <f>"B"</f>
        <v>B</v>
      </c>
      <c r="C111" t="str">
        <f>"Indústrias extractivas"</f>
        <v>Indústrias extractivas</v>
      </c>
    </row>
    <row r="112" spans="1:3" ht="15">
      <c r="A112">
        <v>2</v>
      </c>
      <c r="B112" t="str">
        <f>"05"</f>
        <v>05</v>
      </c>
      <c r="C112" t="str">
        <f>"Extracção de hulha e lenhite"</f>
        <v>Extracção de hulha e lenhite</v>
      </c>
    </row>
    <row r="113" spans="1:3" ht="15">
      <c r="A113">
        <v>3</v>
      </c>
      <c r="B113" t="str">
        <f>"051"</f>
        <v>051</v>
      </c>
      <c r="C113" t="str">
        <f>"Extracção de hulha (inclui antracite)"</f>
        <v>Extracção de hulha (inclui antracite)</v>
      </c>
    </row>
    <row r="114" spans="1:3" ht="15">
      <c r="A114">
        <v>4</v>
      </c>
      <c r="B114" t="str">
        <f>"0510"</f>
        <v>0510</v>
      </c>
      <c r="C114" t="str">
        <f>"Extracção de hulha (inclui antracite)"</f>
        <v>Extracção de hulha (inclui antracite)</v>
      </c>
    </row>
    <row r="115" spans="1:3" ht="15">
      <c r="A115">
        <v>5</v>
      </c>
      <c r="B115" t="str">
        <f>"05100"</f>
        <v>05100</v>
      </c>
      <c r="C115" t="str">
        <f>"Extracção de hulha (inclui antracite)"</f>
        <v>Extracção de hulha (inclui antracite)</v>
      </c>
    </row>
    <row r="116" spans="1:3" ht="15">
      <c r="A116">
        <v>3</v>
      </c>
      <c r="B116" t="str">
        <f>"052"</f>
        <v>052</v>
      </c>
      <c r="C116" t="str">
        <f>"Extracção de lenhite"</f>
        <v>Extracção de lenhite</v>
      </c>
    </row>
    <row r="117" spans="1:3" ht="15">
      <c r="A117">
        <v>4</v>
      </c>
      <c r="B117" t="str">
        <f>"0520"</f>
        <v>0520</v>
      </c>
      <c r="C117" t="str">
        <f>"Extracção de lenhite"</f>
        <v>Extracção de lenhite</v>
      </c>
    </row>
    <row r="118" spans="1:3" ht="15">
      <c r="A118">
        <v>5</v>
      </c>
      <c r="B118" t="str">
        <f>"05200"</f>
        <v>05200</v>
      </c>
      <c r="C118" t="str">
        <f>"Extracção de lenhite"</f>
        <v>Extracção de lenhite</v>
      </c>
    </row>
    <row r="119" spans="1:3" ht="15">
      <c r="A119">
        <v>2</v>
      </c>
      <c r="B119" t="str">
        <f>"06"</f>
        <v>06</v>
      </c>
      <c r="C119" t="str">
        <f>"Extracção de petróleo bruto e gás natural"</f>
        <v>Extracção de petróleo bruto e gás natural</v>
      </c>
    </row>
    <row r="120" spans="1:3" ht="15">
      <c r="A120">
        <v>3</v>
      </c>
      <c r="B120" t="str">
        <f>"061"</f>
        <v>061</v>
      </c>
      <c r="C120" t="str">
        <f>"Extracção de petróleo bruto"</f>
        <v>Extracção de petróleo bruto</v>
      </c>
    </row>
    <row r="121" spans="1:3" ht="15">
      <c r="A121">
        <v>4</v>
      </c>
      <c r="B121" t="str">
        <f>"0610"</f>
        <v>0610</v>
      </c>
      <c r="C121" t="str">
        <f>"Extracção de petróleo bruto"</f>
        <v>Extracção de petróleo bruto</v>
      </c>
    </row>
    <row r="122" spans="1:3" ht="15">
      <c r="A122">
        <v>5</v>
      </c>
      <c r="B122" t="str">
        <f>"06100"</f>
        <v>06100</v>
      </c>
      <c r="C122" t="str">
        <f>"Extracção de petróleo bruto"</f>
        <v>Extracção de petróleo bruto</v>
      </c>
    </row>
    <row r="123" spans="1:3" ht="15">
      <c r="A123">
        <v>3</v>
      </c>
      <c r="B123" t="str">
        <f>"062"</f>
        <v>062</v>
      </c>
      <c r="C123" t="str">
        <f>"Extracção de gás natural"</f>
        <v>Extracção de gás natural</v>
      </c>
    </row>
    <row r="124" spans="1:3" ht="15">
      <c r="A124">
        <v>4</v>
      </c>
      <c r="B124" t="str">
        <f>"0620"</f>
        <v>0620</v>
      </c>
      <c r="C124" t="str">
        <f>"Extracção de gás natural"</f>
        <v>Extracção de gás natural</v>
      </c>
    </row>
    <row r="125" spans="1:3" ht="15">
      <c r="A125">
        <v>5</v>
      </c>
      <c r="B125" t="str">
        <f>"06200"</f>
        <v>06200</v>
      </c>
      <c r="C125" t="str">
        <f>"Extracção de gás natural"</f>
        <v>Extracção de gás natural</v>
      </c>
    </row>
    <row r="126" spans="1:3" ht="15">
      <c r="A126">
        <v>2</v>
      </c>
      <c r="B126" t="str">
        <f>"07"</f>
        <v>07</v>
      </c>
      <c r="C126" t="str">
        <f>"Extracção e preparação de minérios metálicos"</f>
        <v>Extracção e preparação de minérios metálicos</v>
      </c>
    </row>
    <row r="127" spans="1:3" ht="15">
      <c r="A127">
        <v>3</v>
      </c>
      <c r="B127" t="str">
        <f>"071"</f>
        <v>071</v>
      </c>
      <c r="C127" t="str">
        <f>"Extracção e preparação de minérios de ferro"</f>
        <v>Extracção e preparação de minérios de ferro</v>
      </c>
    </row>
    <row r="128" spans="1:3" ht="15">
      <c r="A128">
        <v>4</v>
      </c>
      <c r="B128" t="str">
        <f>"0710"</f>
        <v>0710</v>
      </c>
      <c r="C128" t="str">
        <f>"Extracção e preparação de minérios de ferro"</f>
        <v>Extracção e preparação de minérios de ferro</v>
      </c>
    </row>
    <row r="129" spans="1:3" ht="15">
      <c r="A129">
        <v>5</v>
      </c>
      <c r="B129" t="str">
        <f>"07100"</f>
        <v>07100</v>
      </c>
      <c r="C129" t="str">
        <f>"Extracção e preparação de minérios de ferro"</f>
        <v>Extracção e preparação de minérios de ferro</v>
      </c>
    </row>
    <row r="130" spans="1:3" ht="15">
      <c r="A130">
        <v>3</v>
      </c>
      <c r="B130" t="str">
        <f>"072"</f>
        <v>072</v>
      </c>
      <c r="C130" t="str">
        <f>"Extracção e preparação de minérios metálicos não ferrosos"</f>
        <v>Extracção e preparação de minérios metálicos não ferrosos</v>
      </c>
    </row>
    <row r="131" spans="1:3" ht="15">
      <c r="A131">
        <v>4</v>
      </c>
      <c r="B131" t="str">
        <f>"0721"</f>
        <v>0721</v>
      </c>
      <c r="C131" t="str">
        <f>"Extracção e preparação de minérios de urânio e de tório"</f>
        <v>Extracção e preparação de minérios de urânio e de tório</v>
      </c>
    </row>
    <row r="132" spans="1:3" ht="15">
      <c r="A132">
        <v>5</v>
      </c>
      <c r="B132" t="str">
        <f>"07210"</f>
        <v>07210</v>
      </c>
      <c r="C132" t="str">
        <f>"Extracção e preparação de minérios de urânio e de tório"</f>
        <v>Extracção e preparação de minérios de urânio e de tório</v>
      </c>
    </row>
    <row r="133" spans="1:3" ht="15">
      <c r="A133">
        <v>4</v>
      </c>
      <c r="B133" t="str">
        <f>"0729"</f>
        <v>0729</v>
      </c>
      <c r="C133" t="str">
        <f>"Extracção e preparação de outros minérios metálicos não ferrosos"</f>
        <v>Extracção e preparação de outros minérios metálicos não ferrosos</v>
      </c>
    </row>
    <row r="134" spans="1:3" ht="15">
      <c r="A134">
        <v>5</v>
      </c>
      <c r="B134" t="str">
        <f>"07290"</f>
        <v>07290</v>
      </c>
      <c r="C134" t="str">
        <f>"Extracção e preparação de outros minérios metálicos não ferrosos"</f>
        <v>Extracção e preparação de outros minérios metálicos não ferrosos</v>
      </c>
    </row>
    <row r="135" spans="1:3" ht="15">
      <c r="A135">
        <v>2</v>
      </c>
      <c r="B135" t="str">
        <f>"08"</f>
        <v>08</v>
      </c>
      <c r="C135" t="str">
        <f>"Outras indústrias extractivas"</f>
        <v>Outras indústrias extractivas</v>
      </c>
    </row>
    <row r="136" spans="1:3" ht="15">
      <c r="A136">
        <v>3</v>
      </c>
      <c r="B136" t="str">
        <f>"081"</f>
        <v>081</v>
      </c>
      <c r="C136" t="str">
        <f>"Extracção de pedra, areia e argila"</f>
        <v>Extracção de pedra, areia e argila</v>
      </c>
    </row>
    <row r="137" spans="1:3" ht="15">
      <c r="A137">
        <v>4</v>
      </c>
      <c r="B137" t="str">
        <f>"0811"</f>
        <v>0811</v>
      </c>
      <c r="C137" t="str">
        <f>"Extracção de rochas ornamentais e de outras pedras para construção, de cálcário, de gesso, de cré e de ardósia"</f>
        <v>Extracção de rochas ornamentais e de outras pedras para construção, de cálcário, de gesso, de cré e de ardósia</v>
      </c>
    </row>
    <row r="138" spans="1:3" ht="15">
      <c r="A138">
        <v>5</v>
      </c>
      <c r="B138" t="str">
        <f>"08111"</f>
        <v>08111</v>
      </c>
      <c r="C138" t="str">
        <f>"Extracção de mármore e outras rochas carbonatadas"</f>
        <v>Extracção de mármore e outras rochas carbonatadas</v>
      </c>
    </row>
    <row r="139" spans="1:3" ht="15">
      <c r="A139">
        <v>5</v>
      </c>
      <c r="B139" t="str">
        <f>"08112"</f>
        <v>08112</v>
      </c>
      <c r="C139" t="str">
        <f>"Extracção de granito ornamental e rochas similares"</f>
        <v>Extracção de granito ornamental e rochas similares</v>
      </c>
    </row>
    <row r="140" spans="1:3" ht="15">
      <c r="A140">
        <v>5</v>
      </c>
      <c r="B140" t="str">
        <f>"08113"</f>
        <v>08113</v>
      </c>
      <c r="C140" t="str">
        <f>"Extracção de calcário e cré"</f>
        <v>Extracção de calcário e cré</v>
      </c>
    </row>
    <row r="141" spans="1:3" ht="15">
      <c r="A141">
        <v>5</v>
      </c>
      <c r="B141" t="str">
        <f>"08114"</f>
        <v>08114</v>
      </c>
      <c r="C141" t="str">
        <f>"Extracção de gesso "</f>
        <v>Extracção de gesso </v>
      </c>
    </row>
    <row r="142" spans="1:3" ht="15">
      <c r="A142">
        <v>5</v>
      </c>
      <c r="B142" t="str">
        <f>"08115"</f>
        <v>08115</v>
      </c>
      <c r="C142" t="str">
        <f>"Extracção de ardósia"</f>
        <v>Extracção de ardósia</v>
      </c>
    </row>
    <row r="143" spans="1:3" ht="15">
      <c r="A143">
        <v>4</v>
      </c>
      <c r="B143" t="str">
        <f>"0812"</f>
        <v>0812</v>
      </c>
      <c r="C143" t="str">
        <f>"Extracção de saibro, areia e pedra britada;extracção de argilas e caulino"</f>
        <v>Extracção de saibro, areia e pedra britada;extracção de argilas e caulino</v>
      </c>
    </row>
    <row r="144" spans="1:3" ht="15">
      <c r="A144">
        <v>5</v>
      </c>
      <c r="B144" t="str">
        <f>"08121"</f>
        <v>08121</v>
      </c>
      <c r="C144" t="str">
        <f>"Extracção de saibro, areia e pedra britada"</f>
        <v>Extracção de saibro, areia e pedra britada</v>
      </c>
    </row>
    <row r="145" spans="1:3" ht="15">
      <c r="A145">
        <v>5</v>
      </c>
      <c r="B145" t="str">
        <f>"08122"</f>
        <v>08122</v>
      </c>
      <c r="C145" t="str">
        <f>"Extracção de argilas e caulino"</f>
        <v>Extracção de argilas e caulino</v>
      </c>
    </row>
    <row r="146" spans="1:3" ht="15">
      <c r="A146">
        <v>3</v>
      </c>
      <c r="B146" t="str">
        <f>"089"</f>
        <v>089</v>
      </c>
      <c r="C146" t="str">
        <f>"Indústrias extractivas, n.e."</f>
        <v>Indústrias extractivas, n.e.</v>
      </c>
    </row>
    <row r="147" spans="1:3" ht="15">
      <c r="A147">
        <v>4</v>
      </c>
      <c r="B147" t="str">
        <f>"0891"</f>
        <v>0891</v>
      </c>
      <c r="C147" t="str">
        <f>"Extracção de minerais para a indústria química e para a fabricação de adubos"</f>
        <v>Extracção de minerais para a indústria química e para a fabricação de adubos</v>
      </c>
    </row>
    <row r="148" spans="1:3" ht="15">
      <c r="A148">
        <v>5</v>
      </c>
      <c r="B148" t="str">
        <f>"08910"</f>
        <v>08910</v>
      </c>
      <c r="C148" t="str">
        <f>"Extracção de minerais para a indústria química e para a fabricação de adubos"</f>
        <v>Extracção de minerais para a indústria química e para a fabricação de adubos</v>
      </c>
    </row>
    <row r="149" spans="1:3" ht="15">
      <c r="A149">
        <v>4</v>
      </c>
      <c r="B149" t="str">
        <f>"0892"</f>
        <v>0892</v>
      </c>
      <c r="C149" t="str">
        <f>"Extracção da turfa"</f>
        <v>Extracção da turfa</v>
      </c>
    </row>
    <row r="150" spans="1:3" ht="15">
      <c r="A150">
        <v>5</v>
      </c>
      <c r="B150" t="str">
        <f>"08920"</f>
        <v>08920</v>
      </c>
      <c r="C150" t="str">
        <f>"Extracção da turfa"</f>
        <v>Extracção da turfa</v>
      </c>
    </row>
    <row r="151" spans="1:3" ht="15">
      <c r="A151">
        <v>4</v>
      </c>
      <c r="B151" t="str">
        <f>"0893"</f>
        <v>0893</v>
      </c>
      <c r="C151" t="str">
        <f>"Extracção de sal"</f>
        <v>Extracção de sal</v>
      </c>
    </row>
    <row r="152" spans="1:3" ht="15">
      <c r="A152">
        <v>5</v>
      </c>
      <c r="B152" t="str">
        <f>"08931"</f>
        <v>08931</v>
      </c>
      <c r="C152" t="str">
        <f>"Extracção de sal marinho"</f>
        <v>Extracção de sal marinho</v>
      </c>
    </row>
    <row r="153" spans="1:3" ht="15">
      <c r="A153">
        <v>5</v>
      </c>
      <c r="B153" t="str">
        <f>"08932"</f>
        <v>08932</v>
      </c>
      <c r="C153" t="str">
        <f>"Extracção de sal gema"</f>
        <v>Extracção de sal gema</v>
      </c>
    </row>
    <row r="154" spans="1:3" ht="15">
      <c r="A154">
        <v>4</v>
      </c>
      <c r="B154" t="str">
        <f>"0899"</f>
        <v>0899</v>
      </c>
      <c r="C154" t="str">
        <f>"Outras industrias extractivas, n.e."</f>
        <v>Outras industrias extractivas, n.e.</v>
      </c>
    </row>
    <row r="155" spans="1:3" ht="15">
      <c r="A155">
        <v>5</v>
      </c>
      <c r="B155" t="str">
        <f>"08991"</f>
        <v>08991</v>
      </c>
      <c r="C155" t="str">
        <f>"Extracção de feldspato"</f>
        <v>Extracção de feldspato</v>
      </c>
    </row>
    <row r="156" spans="1:3" ht="15">
      <c r="A156">
        <v>5</v>
      </c>
      <c r="B156" t="str">
        <f>"08992"</f>
        <v>08992</v>
      </c>
      <c r="C156" t="str">
        <f>"Extracção de outros minerais não metálicos, n.e."</f>
        <v>Extracção de outros minerais não metálicos, n.e.</v>
      </c>
    </row>
    <row r="157" spans="1:3" ht="15">
      <c r="A157">
        <v>2</v>
      </c>
      <c r="B157" t="str">
        <f>"09"</f>
        <v>09</v>
      </c>
      <c r="C157" t="str">
        <f>"Actividades dos serviços relacionados com as indústrias extractivas"</f>
        <v>Actividades dos serviços relacionados com as indústrias extractivas</v>
      </c>
    </row>
    <row r="158" spans="1:3" ht="15">
      <c r="A158">
        <v>3</v>
      </c>
      <c r="B158" t="str">
        <f>"091"</f>
        <v>091</v>
      </c>
      <c r="C158" t="str">
        <f>"Actividades dos serviços relacionados com a extracção de petróleo e gás, excepto a prospecção"</f>
        <v>Actividades dos serviços relacionados com a extracção de petróleo e gás, excepto a prospecção</v>
      </c>
    </row>
    <row r="159" spans="1:3" ht="15">
      <c r="A159">
        <v>4</v>
      </c>
      <c r="B159" t="str">
        <f>"0910"</f>
        <v>0910</v>
      </c>
      <c r="C159" t="str">
        <f>"Actividades dos serviços relacionados com a extracção de petróleo e gás, excepto a prospecção"</f>
        <v>Actividades dos serviços relacionados com a extracção de petróleo e gás, excepto a prospecção</v>
      </c>
    </row>
    <row r="160" spans="1:3" ht="15">
      <c r="A160">
        <v>5</v>
      </c>
      <c r="B160" t="str">
        <f>"09100"</f>
        <v>09100</v>
      </c>
      <c r="C160" t="str">
        <f>"Actividades dos serviços relacionados com a extracção de petróleo e gás, excepto a prospecção"</f>
        <v>Actividades dos serviços relacionados com a extracção de petróleo e gás, excepto a prospecção</v>
      </c>
    </row>
    <row r="161" spans="1:3" ht="15">
      <c r="A161">
        <v>3</v>
      </c>
      <c r="B161" t="str">
        <f>"099"</f>
        <v>099</v>
      </c>
      <c r="C161" t="str">
        <f>"Outras actividades dos serviços relacionados com as indústrias extractivas"</f>
        <v>Outras actividades dos serviços relacionados com as indústrias extractivas</v>
      </c>
    </row>
    <row r="162" spans="1:3" ht="15">
      <c r="A162">
        <v>4</v>
      </c>
      <c r="B162" t="str">
        <f>"0990"</f>
        <v>0990</v>
      </c>
      <c r="C162" t="str">
        <f>"Outras actividades dos serviços relacionados com as indústrias extractivas"</f>
        <v>Outras actividades dos serviços relacionados com as indústrias extractivas</v>
      </c>
    </row>
    <row r="163" spans="1:3" ht="15">
      <c r="A163">
        <v>5</v>
      </c>
      <c r="B163" t="str">
        <f>"09900"</f>
        <v>09900</v>
      </c>
      <c r="C163" t="str">
        <f>"Outras actividades dos serviços relacionados com as indústrias extractivas"</f>
        <v>Outras actividades dos serviços relacionados com as indústrias extractivas</v>
      </c>
    </row>
    <row r="164" spans="1:3" ht="15">
      <c r="A164">
        <v>1</v>
      </c>
      <c r="B164" t="str">
        <f>"C"</f>
        <v>C</v>
      </c>
      <c r="C164" t="str">
        <f>"Indústrias transformadoras"</f>
        <v>Indústrias transformadoras</v>
      </c>
    </row>
    <row r="165" spans="1:3" ht="15">
      <c r="A165">
        <v>2</v>
      </c>
      <c r="B165" t="str">
        <f>"10"</f>
        <v>10</v>
      </c>
      <c r="C165" t="str">
        <f>"Indústrias alimentares"</f>
        <v>Indústrias alimentares</v>
      </c>
    </row>
    <row r="166" spans="1:3" ht="15">
      <c r="A166">
        <v>3</v>
      </c>
      <c r="B166" t="str">
        <f>"101"</f>
        <v>101</v>
      </c>
      <c r="C166" t="str">
        <f>"Abate de animais, preparação e conservação de carne e de produtos à base de carne"</f>
        <v>Abate de animais, preparação e conservação de carne e de produtos à base de carne</v>
      </c>
    </row>
    <row r="167" spans="1:3" ht="15">
      <c r="A167">
        <v>4</v>
      </c>
      <c r="B167" t="str">
        <f>"1011"</f>
        <v>1011</v>
      </c>
      <c r="C167" t="str">
        <f>"Abate de gado (produção de carne)"</f>
        <v>Abate de gado (produção de carne)</v>
      </c>
    </row>
    <row r="168" spans="1:3" ht="15">
      <c r="A168">
        <v>5</v>
      </c>
      <c r="B168" t="str">
        <f>"10110"</f>
        <v>10110</v>
      </c>
      <c r="C168" t="str">
        <f>"Abate de gado (produção de carne)"</f>
        <v>Abate de gado (produção de carne)</v>
      </c>
    </row>
    <row r="169" spans="1:3" ht="15">
      <c r="A169">
        <v>4</v>
      </c>
      <c r="B169" t="str">
        <f>"1012"</f>
        <v>1012</v>
      </c>
      <c r="C169" t="str">
        <f>"Abate de aves (produção de carne)"</f>
        <v>Abate de aves (produção de carne)</v>
      </c>
    </row>
    <row r="170" spans="1:3" ht="15">
      <c r="A170">
        <v>5</v>
      </c>
      <c r="B170" t="str">
        <f>"10120"</f>
        <v>10120</v>
      </c>
      <c r="C170" t="str">
        <f>"Abate de aves (produção de carne)"</f>
        <v>Abate de aves (produção de carne)</v>
      </c>
    </row>
    <row r="171" spans="1:3" ht="15">
      <c r="A171">
        <v>4</v>
      </c>
      <c r="B171" t="str">
        <f>"1013"</f>
        <v>1013</v>
      </c>
      <c r="C171" t="str">
        <f>"Fabricação de produtos à base de carne"</f>
        <v>Fabricação de produtos à base de carne</v>
      </c>
    </row>
    <row r="172" spans="1:3" ht="15">
      <c r="A172">
        <v>5</v>
      </c>
      <c r="B172" t="str">
        <f>"10130"</f>
        <v>10130</v>
      </c>
      <c r="C172" t="str">
        <f>"Fabricação de produtos à base de carne"</f>
        <v>Fabricação de produtos à base de carne</v>
      </c>
    </row>
    <row r="173" spans="1:3" ht="15">
      <c r="A173">
        <v>3</v>
      </c>
      <c r="B173" t="str">
        <f>"102"</f>
        <v>102</v>
      </c>
      <c r="C173" t="str">
        <f>"Preparação e conservação de peixes, crustáceos e moluscos"</f>
        <v>Preparação e conservação de peixes, crustáceos e moluscos</v>
      </c>
    </row>
    <row r="174" spans="1:3" ht="15">
      <c r="A174">
        <v>4</v>
      </c>
      <c r="B174" t="str">
        <f>"1020"</f>
        <v>1020</v>
      </c>
      <c r="C174" t="str">
        <f>"Preparação e conservação de peixes, crustáceos e moluscos"</f>
        <v>Preparação e conservação de peixes, crustáceos e moluscos</v>
      </c>
    </row>
    <row r="175" spans="1:3" ht="15">
      <c r="A175">
        <v>5</v>
      </c>
      <c r="B175" t="str">
        <f>"10201"</f>
        <v>10201</v>
      </c>
      <c r="C175" t="str">
        <f>"Preparação de produtos da pesca e da aquicultura"</f>
        <v>Preparação de produtos da pesca e da aquicultura</v>
      </c>
    </row>
    <row r="176" spans="1:3" ht="15">
      <c r="A176">
        <v>5</v>
      </c>
      <c r="B176" t="str">
        <f>"10202"</f>
        <v>10202</v>
      </c>
      <c r="C176" t="str">
        <f>"Congelação de produtos da pesca e da aquicultura"</f>
        <v>Congelação de produtos da pesca e da aquicultura</v>
      </c>
    </row>
    <row r="177" spans="1:3" ht="15">
      <c r="A177">
        <v>5</v>
      </c>
      <c r="B177" t="str">
        <f>"10203"</f>
        <v>10203</v>
      </c>
      <c r="C177" t="str">
        <f>"Conservação de produtos da pesca e da aquicultura em azeite e outros óleos vegetais e outros molhos"</f>
        <v>Conservação de produtos da pesca e da aquicultura em azeite e outros óleos vegetais e outros molhos</v>
      </c>
    </row>
    <row r="178" spans="1:3" ht="15">
      <c r="A178">
        <v>5</v>
      </c>
      <c r="B178" t="str">
        <f>"10204"</f>
        <v>10204</v>
      </c>
      <c r="C178" t="str">
        <f>"Salga, secagem e outras actividades de transformação de produtos da pesca e aquicultura"</f>
        <v>Salga, secagem e outras actividades de transformação de produtos da pesca e aquicultura</v>
      </c>
    </row>
    <row r="179" spans="1:3" ht="15">
      <c r="A179">
        <v>3</v>
      </c>
      <c r="B179" t="str">
        <f>"103"</f>
        <v>103</v>
      </c>
      <c r="C179" t="str">
        <f>"Preparação e conservação de frutos e de produtos hortícolas"</f>
        <v>Preparação e conservação de frutos e de produtos hortícolas</v>
      </c>
    </row>
    <row r="180" spans="1:3" ht="15">
      <c r="A180">
        <v>4</v>
      </c>
      <c r="B180" t="str">
        <f>"1031"</f>
        <v>1031</v>
      </c>
      <c r="C180" t="str">
        <f>"Preparação e conservação de batatas"</f>
        <v>Preparação e conservação de batatas</v>
      </c>
    </row>
    <row r="181" spans="1:3" ht="15">
      <c r="A181">
        <v>5</v>
      </c>
      <c r="B181" t="str">
        <f>"10310"</f>
        <v>10310</v>
      </c>
      <c r="C181" t="str">
        <f>"Preparação e conservação de batatas"</f>
        <v>Preparação e conservação de batatas</v>
      </c>
    </row>
    <row r="182" spans="1:3" ht="15">
      <c r="A182">
        <v>4</v>
      </c>
      <c r="B182" t="str">
        <f>"1032"</f>
        <v>1032</v>
      </c>
      <c r="C182" t="str">
        <f>"Fabricação de sumos de frutos e de produtos hortícolas"</f>
        <v>Fabricação de sumos de frutos e de produtos hortícolas</v>
      </c>
    </row>
    <row r="183" spans="1:3" ht="15">
      <c r="A183">
        <v>5</v>
      </c>
      <c r="B183" t="str">
        <f>"10320"</f>
        <v>10320</v>
      </c>
      <c r="C183" t="str">
        <f>"Fabricação de sumos de frutos e de produtos hortícolas"</f>
        <v>Fabricação de sumos de frutos e de produtos hortícolas</v>
      </c>
    </row>
    <row r="184" spans="1:3" ht="15">
      <c r="A184">
        <v>4</v>
      </c>
      <c r="B184" t="str">
        <f>"1039"</f>
        <v>1039</v>
      </c>
      <c r="C184" t="str">
        <f>"Outra preparação e conservação de frutos e de produtos hortícolas"</f>
        <v>Outra preparação e conservação de frutos e de produtos hortícolas</v>
      </c>
    </row>
    <row r="185" spans="1:3" ht="15">
      <c r="A185">
        <v>5</v>
      </c>
      <c r="B185" t="str">
        <f>"10391"</f>
        <v>10391</v>
      </c>
      <c r="C185" t="str">
        <f>"Congelação de frutos e de produtos hortícolas"</f>
        <v>Congelação de frutos e de produtos hortícolas</v>
      </c>
    </row>
    <row r="186" spans="1:3" ht="15">
      <c r="A186">
        <v>5</v>
      </c>
      <c r="B186" t="str">
        <f>"10392"</f>
        <v>10392</v>
      </c>
      <c r="C186" t="str">
        <f>"Secagem e desidratação de frutos e de produtos hortícolas"</f>
        <v>Secagem e desidratação de frutos e de produtos hortícolas</v>
      </c>
    </row>
    <row r="187" spans="1:3" ht="15">
      <c r="A187">
        <v>5</v>
      </c>
      <c r="B187" t="str">
        <f>"10393"</f>
        <v>10393</v>
      </c>
      <c r="C187" t="str">
        <f>"Fabricação de doces, compotas, geleias e marmelada"</f>
        <v>Fabricação de doces, compotas, geleias e marmelada</v>
      </c>
    </row>
    <row r="188" spans="1:3" ht="15">
      <c r="A188">
        <v>5</v>
      </c>
      <c r="B188" t="str">
        <f>"10394"</f>
        <v>10394</v>
      </c>
      <c r="C188" t="str">
        <f>"Descasque e transformação de frutos de casca rija comestíveis"</f>
        <v>Descasque e transformação de frutos de casca rija comestíveis</v>
      </c>
    </row>
    <row r="189" spans="1:3" ht="15">
      <c r="A189">
        <v>5</v>
      </c>
      <c r="B189" t="str">
        <f>"10395"</f>
        <v>10395</v>
      </c>
      <c r="C189" t="str">
        <f>"Preparação e conservação de frutos e de produtos hortícolas por outros processos"</f>
        <v>Preparação e conservação de frutos e de produtos hortícolas por outros processos</v>
      </c>
    </row>
    <row r="190" spans="1:3" ht="15">
      <c r="A190">
        <v>3</v>
      </c>
      <c r="B190" t="str">
        <f>"104"</f>
        <v>104</v>
      </c>
      <c r="C190" t="str">
        <f>"Produção de óleos e gorduras animais e vegetais"</f>
        <v>Produção de óleos e gorduras animais e vegetais</v>
      </c>
    </row>
    <row r="191" spans="1:3" ht="15">
      <c r="A191">
        <v>4</v>
      </c>
      <c r="B191" t="str">
        <f>"1041"</f>
        <v>1041</v>
      </c>
      <c r="C191" t="str">
        <f>"Produção de óleos e gorduras"</f>
        <v>Produção de óleos e gorduras</v>
      </c>
    </row>
    <row r="192" spans="1:3" ht="15">
      <c r="A192">
        <v>5</v>
      </c>
      <c r="B192" t="str">
        <f>"10411"</f>
        <v>10411</v>
      </c>
      <c r="C192" t="str">
        <f>"Produção de óleos e gorduras animais brutos "</f>
        <v>Produção de óleos e gorduras animais brutos </v>
      </c>
    </row>
    <row r="193" spans="1:3" ht="15">
      <c r="A193">
        <v>5</v>
      </c>
      <c r="B193" t="str">
        <f>"10412"</f>
        <v>10412</v>
      </c>
      <c r="C193" t="str">
        <f>"Produção de azeite"</f>
        <v>Produção de azeite</v>
      </c>
    </row>
    <row r="194" spans="1:3" ht="15">
      <c r="A194">
        <v>5</v>
      </c>
      <c r="B194" t="str">
        <f>"10413"</f>
        <v>10413</v>
      </c>
      <c r="C194" t="str">
        <f>"Produção de óleos vegetais brutos (excepto azeite) "</f>
        <v>Produção de óleos vegetais brutos (excepto azeite) </v>
      </c>
    </row>
    <row r="195" spans="1:3" ht="15">
      <c r="A195">
        <v>5</v>
      </c>
      <c r="B195" t="str">
        <f>"10414"</f>
        <v>10414</v>
      </c>
      <c r="C195" t="str">
        <f>"Refinação de azeite, óleos e gorduras"</f>
        <v>Refinação de azeite, óleos e gorduras</v>
      </c>
    </row>
    <row r="196" spans="1:3" ht="15">
      <c r="A196">
        <v>4</v>
      </c>
      <c r="B196" t="str">
        <f>"1042"</f>
        <v>1042</v>
      </c>
      <c r="C196" t="str">
        <f>"Fabricação de margarinas e de gorduras alimentares similares"</f>
        <v>Fabricação de margarinas e de gorduras alimentares similares</v>
      </c>
    </row>
    <row r="197" spans="1:3" ht="15">
      <c r="A197">
        <v>5</v>
      </c>
      <c r="B197" t="str">
        <f>"10420"</f>
        <v>10420</v>
      </c>
      <c r="C197" t="str">
        <f>"Fabricação de margarinas e de gorduras alimentares similares"</f>
        <v>Fabricação de margarinas e de gorduras alimentares similares</v>
      </c>
    </row>
    <row r="198" spans="1:3" ht="15">
      <c r="A198">
        <v>3</v>
      </c>
      <c r="B198" t="str">
        <f>"105"</f>
        <v>105</v>
      </c>
      <c r="C198" t="str">
        <f>"Indústria de lacticínios"</f>
        <v>Indústria de lacticínios</v>
      </c>
    </row>
    <row r="199" spans="1:3" ht="15">
      <c r="A199">
        <v>4</v>
      </c>
      <c r="B199" t="str">
        <f>"1051"</f>
        <v>1051</v>
      </c>
      <c r="C199" t="str">
        <f>"Indústrias do leite e derivados"</f>
        <v>Indústrias do leite e derivados</v>
      </c>
    </row>
    <row r="200" spans="1:3" ht="15">
      <c r="A200">
        <v>5</v>
      </c>
      <c r="B200" t="str">
        <f>"10510"</f>
        <v>10510</v>
      </c>
      <c r="C200" t="str">
        <f>"Indústrias do leite e derivados"</f>
        <v>Indústrias do leite e derivados</v>
      </c>
    </row>
    <row r="201" spans="1:3" ht="15">
      <c r="A201">
        <v>4</v>
      </c>
      <c r="B201" t="str">
        <f>"1052"</f>
        <v>1052</v>
      </c>
      <c r="C201" t="str">
        <f>"Fabricação de gelados e sorvetes"</f>
        <v>Fabricação de gelados e sorvetes</v>
      </c>
    </row>
    <row r="202" spans="1:3" ht="15">
      <c r="A202">
        <v>5</v>
      </c>
      <c r="B202" t="str">
        <f>"10520"</f>
        <v>10520</v>
      </c>
      <c r="C202" t="str">
        <f>"Fabricação de gelados e sorvetes"</f>
        <v>Fabricação de gelados e sorvetes</v>
      </c>
    </row>
    <row r="203" spans="1:3" ht="15">
      <c r="A203">
        <v>3</v>
      </c>
      <c r="B203" t="str">
        <f>"106"</f>
        <v>106</v>
      </c>
      <c r="C203" t="str">
        <f>"Transformação de cereais e leguminosas; fabricação de amidos, de féculas e de produtos afins"</f>
        <v>Transformação de cereais e leguminosas; fabricação de amidos, de féculas e de produtos afins</v>
      </c>
    </row>
    <row r="204" spans="1:3" ht="15">
      <c r="A204">
        <v>4</v>
      </c>
      <c r="B204" t="str">
        <f>"1061"</f>
        <v>1061</v>
      </c>
      <c r="C204" t="str">
        <f>"Transformação de cereais e leguminosas"</f>
        <v>Transformação de cereais e leguminosas</v>
      </c>
    </row>
    <row r="205" spans="1:3" ht="15">
      <c r="A205">
        <v>5</v>
      </c>
      <c r="B205" t="str">
        <f>"10611"</f>
        <v>10611</v>
      </c>
      <c r="C205" t="str">
        <f>"Moagem de cereais"</f>
        <v>Moagem de cereais</v>
      </c>
    </row>
    <row r="206" spans="1:3" ht="15">
      <c r="A206">
        <v>5</v>
      </c>
      <c r="B206" t="str">
        <f>"10612"</f>
        <v>10612</v>
      </c>
      <c r="C206" t="str">
        <f>"Descasque, branqueamento e outros tratamentos do arroz"</f>
        <v>Descasque, branqueamento e outros tratamentos do arroz</v>
      </c>
    </row>
    <row r="207" spans="1:3" ht="15">
      <c r="A207">
        <v>5</v>
      </c>
      <c r="B207" t="str">
        <f>"10613"</f>
        <v>10613</v>
      </c>
      <c r="C207" t="str">
        <f>"Transformação de cereais e leguminosas, n.e."</f>
        <v>Transformação de cereais e leguminosas, n.e.</v>
      </c>
    </row>
    <row r="208" spans="1:3" ht="15">
      <c r="A208">
        <v>4</v>
      </c>
      <c r="B208" t="str">
        <f>"1062"</f>
        <v>1062</v>
      </c>
      <c r="C208" t="str">
        <f>"Fabricação de amidos, féculas e produtos afins"</f>
        <v>Fabricação de amidos, féculas e produtos afins</v>
      </c>
    </row>
    <row r="209" spans="1:3" ht="15">
      <c r="A209">
        <v>5</v>
      </c>
      <c r="B209" t="str">
        <f>"10620"</f>
        <v>10620</v>
      </c>
      <c r="C209" t="str">
        <f>"Fabricação de amidos, féculas e produtos afins"</f>
        <v>Fabricação de amidos, féculas e produtos afins</v>
      </c>
    </row>
    <row r="210" spans="1:3" ht="15">
      <c r="A210">
        <v>3</v>
      </c>
      <c r="B210" t="str">
        <f>"107"</f>
        <v>107</v>
      </c>
      <c r="C210" t="str">
        <f>"Fabricação de produtos de padaria e outros produtos à base de farinha"</f>
        <v>Fabricação de produtos de padaria e outros produtos à base de farinha</v>
      </c>
    </row>
    <row r="211" spans="1:3" ht="15">
      <c r="A211">
        <v>4</v>
      </c>
      <c r="B211" t="str">
        <f>"1071"</f>
        <v>1071</v>
      </c>
      <c r="C211" t="str">
        <f>"Panificação e pastelaria"</f>
        <v>Panificação e pastelaria</v>
      </c>
    </row>
    <row r="212" spans="1:3" ht="15">
      <c r="A212">
        <v>5</v>
      </c>
      <c r="B212" t="str">
        <f>"10711"</f>
        <v>10711</v>
      </c>
      <c r="C212" t="str">
        <f>"Panificação "</f>
        <v>Panificação </v>
      </c>
    </row>
    <row r="213" spans="1:3" ht="15">
      <c r="A213">
        <v>5</v>
      </c>
      <c r="B213" t="str">
        <f>"10712"</f>
        <v>10712</v>
      </c>
      <c r="C213" t="str">
        <f>"Pastelaria"</f>
        <v>Pastelaria</v>
      </c>
    </row>
    <row r="214" spans="1:3" ht="15">
      <c r="A214">
        <v>4</v>
      </c>
      <c r="B214" t="str">
        <f>"1072"</f>
        <v>1072</v>
      </c>
      <c r="C214" t="str">
        <f>"Fabricação de bolachas, biscoitos, tostas e pastelaria de conservação"</f>
        <v>Fabricação de bolachas, biscoitos, tostas e pastelaria de conservação</v>
      </c>
    </row>
    <row r="215" spans="1:3" ht="15">
      <c r="A215">
        <v>5</v>
      </c>
      <c r="B215" t="str">
        <f>"10720"</f>
        <v>10720</v>
      </c>
      <c r="C215" t="str">
        <f>"Fabricação de bolachas, biscoitos, tostas e pastelaria de conservação"</f>
        <v>Fabricação de bolachas, biscoitos, tostas e pastelaria de conservação</v>
      </c>
    </row>
    <row r="216" spans="1:3" ht="15">
      <c r="A216">
        <v>4</v>
      </c>
      <c r="B216" t="str">
        <f>"1073"</f>
        <v>1073</v>
      </c>
      <c r="C216" t="str">
        <f>"Fabricação de massas alimentícias, cuscuz e similares"</f>
        <v>Fabricação de massas alimentícias, cuscuz e similares</v>
      </c>
    </row>
    <row r="217" spans="1:3" ht="15">
      <c r="A217">
        <v>5</v>
      </c>
      <c r="B217" t="str">
        <f>"10730"</f>
        <v>10730</v>
      </c>
      <c r="C217" t="str">
        <f>"Fabricação de massas alimentícias, cuscuz e similares"</f>
        <v>Fabricação de massas alimentícias, cuscuz e similares</v>
      </c>
    </row>
    <row r="218" spans="1:3" ht="15">
      <c r="A218">
        <v>3</v>
      </c>
      <c r="B218" t="str">
        <f>"108"</f>
        <v>108</v>
      </c>
      <c r="C218" t="str">
        <f>"Fabricação de outros produtos alimentares"</f>
        <v>Fabricação de outros produtos alimentares</v>
      </c>
    </row>
    <row r="219" spans="1:3" ht="15">
      <c r="A219">
        <v>4</v>
      </c>
      <c r="B219" t="str">
        <f>"1081"</f>
        <v>1081</v>
      </c>
      <c r="C219" t="str">
        <f>"Indústria do açúcar"</f>
        <v>Indústria do açúcar</v>
      </c>
    </row>
    <row r="220" spans="1:3" ht="15">
      <c r="A220">
        <v>5</v>
      </c>
      <c r="B220" t="str">
        <f>"10810"</f>
        <v>10810</v>
      </c>
      <c r="C220" t="str">
        <f>"Indústria do açúcar"</f>
        <v>Indústria do açúcar</v>
      </c>
    </row>
    <row r="221" spans="1:3" ht="15">
      <c r="A221">
        <v>4</v>
      </c>
      <c r="B221" t="str">
        <f>"1082"</f>
        <v>1082</v>
      </c>
      <c r="C221" t="str">
        <f>"Indústria do cacau, do chocolate e dos produtos de confeitaria"</f>
        <v>Indústria do cacau, do chocolate e dos produtos de confeitaria</v>
      </c>
    </row>
    <row r="222" spans="1:3" ht="15">
      <c r="A222">
        <v>5</v>
      </c>
      <c r="B222" t="str">
        <f>"10821"</f>
        <v>10821</v>
      </c>
      <c r="C222" t="str">
        <f>"Fabricação de cacau e de chocolate "</f>
        <v>Fabricação de cacau e de chocolate </v>
      </c>
    </row>
    <row r="223" spans="1:3" ht="15">
      <c r="A223">
        <v>5</v>
      </c>
      <c r="B223" t="str">
        <f>"10822"</f>
        <v>10822</v>
      </c>
      <c r="C223" t="str">
        <f>"Fabricação de produtos de confeitaria"</f>
        <v>Fabricação de produtos de confeitaria</v>
      </c>
    </row>
    <row r="224" spans="1:3" ht="15">
      <c r="A224">
        <v>4</v>
      </c>
      <c r="B224" t="str">
        <f>"1083"</f>
        <v>1083</v>
      </c>
      <c r="C224" t="str">
        <f>"Indústria do café e do chá"</f>
        <v>Indústria do café e do chá</v>
      </c>
    </row>
    <row r="225" spans="1:3" ht="15">
      <c r="A225">
        <v>5</v>
      </c>
      <c r="B225" t="str">
        <f>"10830"</f>
        <v>10830</v>
      </c>
      <c r="C225" t="str">
        <f>"Indústria do café e do chá"</f>
        <v>Indústria do café e do chá</v>
      </c>
    </row>
    <row r="226" spans="1:3" ht="15">
      <c r="A226">
        <v>4</v>
      </c>
      <c r="B226" t="str">
        <f>"1084"</f>
        <v>1084</v>
      </c>
      <c r="C226" t="str">
        <f>"Fabricação de condimentos e temperos"</f>
        <v>Fabricação de condimentos e temperos</v>
      </c>
    </row>
    <row r="227" spans="1:3" ht="15">
      <c r="A227">
        <v>5</v>
      </c>
      <c r="B227" t="str">
        <f>"10840"</f>
        <v>10840</v>
      </c>
      <c r="C227" t="str">
        <f>"Fabricação de condimentos e temperos"</f>
        <v>Fabricação de condimentos e temperos</v>
      </c>
    </row>
    <row r="228" spans="1:3" ht="15">
      <c r="A228">
        <v>4</v>
      </c>
      <c r="B228" t="str">
        <f>"1085"</f>
        <v>1085</v>
      </c>
      <c r="C228" t="str">
        <f>"Fabricação de refeições e pratos pré-cozinhados"</f>
        <v>Fabricação de refeições e pratos pré-cozinhados</v>
      </c>
    </row>
    <row r="229" spans="1:3" ht="15">
      <c r="A229">
        <v>5</v>
      </c>
      <c r="B229" t="str">
        <f>"10850"</f>
        <v>10850</v>
      </c>
      <c r="C229" t="str">
        <f>"Fabricação de refeições e pratos pré-cozinhados"</f>
        <v>Fabricação de refeições e pratos pré-cozinhados</v>
      </c>
    </row>
    <row r="230" spans="1:3" ht="15">
      <c r="A230">
        <v>4</v>
      </c>
      <c r="B230" t="str">
        <f>"1086"</f>
        <v>1086</v>
      </c>
      <c r="C230" t="str">
        <f>"Fabricação de alimentos homogeneizados e dietéticos"</f>
        <v>Fabricação de alimentos homogeneizados e dietéticos</v>
      </c>
    </row>
    <row r="231" spans="1:3" ht="15">
      <c r="A231">
        <v>5</v>
      </c>
      <c r="B231" t="str">
        <f>"10860"</f>
        <v>10860</v>
      </c>
      <c r="C231" t="str">
        <f>"Fabricação de alimentos homogeneizados e dietéticos"</f>
        <v>Fabricação de alimentos homogeneizados e dietéticos</v>
      </c>
    </row>
    <row r="232" spans="1:3" ht="15">
      <c r="A232">
        <v>4</v>
      </c>
      <c r="B232" t="str">
        <f>"1089"</f>
        <v>1089</v>
      </c>
      <c r="C232" t="str">
        <f>"Fabricação de outros produtos alimentares, n.e."</f>
        <v>Fabricação de outros produtos alimentares, n.e.</v>
      </c>
    </row>
    <row r="233" spans="1:3" ht="15">
      <c r="A233">
        <v>5</v>
      </c>
      <c r="B233" t="str">
        <f>"10891"</f>
        <v>10891</v>
      </c>
      <c r="C233" t="str">
        <f>"Fabricação de fermentos, leveduras e adjuvantes para panificação e pastelaria"</f>
        <v>Fabricação de fermentos, leveduras e adjuvantes para panificação e pastelaria</v>
      </c>
    </row>
    <row r="234" spans="1:3" ht="15">
      <c r="A234">
        <v>5</v>
      </c>
      <c r="B234" t="str">
        <f>"10892"</f>
        <v>10892</v>
      </c>
      <c r="C234" t="str">
        <f>"Fabricação de caldos, sopas e sobremesas"</f>
        <v>Fabricação de caldos, sopas e sobremesas</v>
      </c>
    </row>
    <row r="235" spans="1:3" ht="15">
      <c r="A235">
        <v>5</v>
      </c>
      <c r="B235" t="str">
        <f>"10893"</f>
        <v>10893</v>
      </c>
      <c r="C235" t="str">
        <f>"Fabricação de outros produtos alimentares diversos, n.e."</f>
        <v>Fabricação de outros produtos alimentares diversos, n.e.</v>
      </c>
    </row>
    <row r="236" spans="1:3" ht="15">
      <c r="A236">
        <v>3</v>
      </c>
      <c r="B236" t="str">
        <f>"109"</f>
        <v>109</v>
      </c>
      <c r="C236" t="str">
        <f>"Fabricação de alimentos para animais"</f>
        <v>Fabricação de alimentos para animais</v>
      </c>
    </row>
    <row r="237" spans="1:3" ht="15">
      <c r="A237">
        <v>4</v>
      </c>
      <c r="B237" t="str">
        <f>"1091"</f>
        <v>1091</v>
      </c>
      <c r="C237" t="str">
        <f>"Fabricação de alimentos para animais de criação"</f>
        <v>Fabricação de alimentos para animais de criação</v>
      </c>
    </row>
    <row r="238" spans="1:3" ht="15">
      <c r="A238">
        <v>5</v>
      </c>
      <c r="B238" t="str">
        <f>"10911"</f>
        <v>10911</v>
      </c>
      <c r="C238" t="str">
        <f>"Fabricação de pré-misturas"</f>
        <v>Fabricação de pré-misturas</v>
      </c>
    </row>
    <row r="239" spans="1:3" ht="15">
      <c r="A239">
        <v>5</v>
      </c>
      <c r="B239" t="str">
        <f>"10912"</f>
        <v>10912</v>
      </c>
      <c r="C239" t="str">
        <f>"Fabricação de alimentos para animais de criação (excepto para aquicultura)"</f>
        <v>Fabricação de alimentos para animais de criação (excepto para aquicultura)</v>
      </c>
    </row>
    <row r="240" spans="1:3" ht="15">
      <c r="A240">
        <v>5</v>
      </c>
      <c r="B240" t="str">
        <f>"10913"</f>
        <v>10913</v>
      </c>
      <c r="C240" t="str">
        <f>"Fabricação de alimentos para aquicultura"</f>
        <v>Fabricação de alimentos para aquicultura</v>
      </c>
    </row>
    <row r="241" spans="1:3" ht="15">
      <c r="A241">
        <v>4</v>
      </c>
      <c r="B241" t="str">
        <f>"1092"</f>
        <v>1092</v>
      </c>
      <c r="C241" t="str">
        <f>"Fabricação de alimentos para animais de companhia"</f>
        <v>Fabricação de alimentos para animais de companhia</v>
      </c>
    </row>
    <row r="242" spans="1:3" ht="15">
      <c r="A242">
        <v>5</v>
      </c>
      <c r="B242" t="str">
        <f>"10920"</f>
        <v>10920</v>
      </c>
      <c r="C242" t="str">
        <f>"Fabricação de alimentos para animais de companhia"</f>
        <v>Fabricação de alimentos para animais de companhia</v>
      </c>
    </row>
    <row r="243" spans="1:3" ht="15">
      <c r="A243">
        <v>2</v>
      </c>
      <c r="B243" t="str">
        <f>"11"</f>
        <v>11</v>
      </c>
      <c r="C243" t="str">
        <f>"Indústria das bebidas"</f>
        <v>Indústria das bebidas</v>
      </c>
    </row>
    <row r="244" spans="1:3" ht="15">
      <c r="A244">
        <v>3</v>
      </c>
      <c r="B244" t="str">
        <f>"110"</f>
        <v>110</v>
      </c>
      <c r="C244" t="str">
        <f>"Indústria das bebidas"</f>
        <v>Indústria das bebidas</v>
      </c>
    </row>
    <row r="245" spans="1:3" ht="15">
      <c r="A245">
        <v>4</v>
      </c>
      <c r="B245" t="str">
        <f>"1101"</f>
        <v>1101</v>
      </c>
      <c r="C245" t="str">
        <f>"Fabricação de bebidas alcoólicas destiladas"</f>
        <v>Fabricação de bebidas alcoólicas destiladas</v>
      </c>
    </row>
    <row r="246" spans="1:3" ht="15">
      <c r="A246">
        <v>5</v>
      </c>
      <c r="B246" t="str">
        <f>"11011"</f>
        <v>11011</v>
      </c>
      <c r="C246" t="str">
        <f>"Fabricação de aguardentes preparadas"</f>
        <v>Fabricação de aguardentes preparadas</v>
      </c>
    </row>
    <row r="247" spans="1:3" ht="15">
      <c r="A247">
        <v>5</v>
      </c>
      <c r="B247" t="str">
        <f>"11012"</f>
        <v>11012</v>
      </c>
      <c r="C247" t="str">
        <f>"Fabricação de aguardentes não preparadas"</f>
        <v>Fabricação de aguardentes não preparadas</v>
      </c>
    </row>
    <row r="248" spans="1:3" ht="15">
      <c r="A248">
        <v>5</v>
      </c>
      <c r="B248" t="str">
        <f>"11013"</f>
        <v>11013</v>
      </c>
      <c r="C248" t="str">
        <f>"Produção de licores e de outras bebidas destiladas"</f>
        <v>Produção de licores e de outras bebidas destiladas</v>
      </c>
    </row>
    <row r="249" spans="1:3" ht="15">
      <c r="A249">
        <v>4</v>
      </c>
      <c r="B249" t="str">
        <f>"1102"</f>
        <v>1102</v>
      </c>
      <c r="C249" t="str">
        <f>"Indústria do vinho"</f>
        <v>Indústria do vinho</v>
      </c>
    </row>
    <row r="250" spans="1:3" ht="15">
      <c r="A250">
        <v>5</v>
      </c>
      <c r="B250" t="str">
        <f>"11021"</f>
        <v>11021</v>
      </c>
      <c r="C250" t="str">
        <f>"Produção de vinhos comuns e licorosos "</f>
        <v>Produção de vinhos comuns e licorosos </v>
      </c>
    </row>
    <row r="251" spans="1:3" ht="15">
      <c r="A251">
        <v>5</v>
      </c>
      <c r="B251" t="str">
        <f>"11022"</f>
        <v>11022</v>
      </c>
      <c r="C251" t="str">
        <f>"Produção de vinhos espumantes e espumosos"</f>
        <v>Produção de vinhos espumantes e espumosos</v>
      </c>
    </row>
    <row r="252" spans="1:3" ht="15">
      <c r="A252">
        <v>4</v>
      </c>
      <c r="B252" t="str">
        <f>"1103"</f>
        <v>1103</v>
      </c>
      <c r="C252" t="str">
        <f>"Fabricação de cidra e outras bebidas fermentadas de frutos"</f>
        <v>Fabricação de cidra e outras bebidas fermentadas de frutos</v>
      </c>
    </row>
    <row r="253" spans="1:3" ht="15">
      <c r="A253">
        <v>5</v>
      </c>
      <c r="B253" t="str">
        <f>"11030"</f>
        <v>11030</v>
      </c>
      <c r="C253" t="str">
        <f>"Fabricação de cidra e outras bebidas fermentadas de frutos"</f>
        <v>Fabricação de cidra e outras bebidas fermentadas de frutos</v>
      </c>
    </row>
    <row r="254" spans="1:3" ht="15">
      <c r="A254">
        <v>4</v>
      </c>
      <c r="B254" t="str">
        <f>"1104"</f>
        <v>1104</v>
      </c>
      <c r="C254" t="str">
        <f>"Fabricação de vermutes e de outras bebidas fermentadas não destiladas"</f>
        <v>Fabricação de vermutes e de outras bebidas fermentadas não destiladas</v>
      </c>
    </row>
    <row r="255" spans="1:3" ht="15">
      <c r="A255">
        <v>5</v>
      </c>
      <c r="B255" t="str">
        <f>"11040"</f>
        <v>11040</v>
      </c>
      <c r="C255" t="str">
        <f>"Fabricação de vermutes e de outras bebidas fermentadas não destiladas"</f>
        <v>Fabricação de vermutes e de outras bebidas fermentadas não destiladas</v>
      </c>
    </row>
    <row r="256" spans="1:3" ht="15">
      <c r="A256">
        <v>4</v>
      </c>
      <c r="B256" t="str">
        <f>"1105"</f>
        <v>1105</v>
      </c>
      <c r="C256" t="str">
        <f>"Fabricação de cerveja"</f>
        <v>Fabricação de cerveja</v>
      </c>
    </row>
    <row r="257" spans="1:3" ht="15">
      <c r="A257">
        <v>5</v>
      </c>
      <c r="B257" t="str">
        <f>"11050"</f>
        <v>11050</v>
      </c>
      <c r="C257" t="str">
        <f>"Fabricação de cerveja"</f>
        <v>Fabricação de cerveja</v>
      </c>
    </row>
    <row r="258" spans="1:3" ht="15">
      <c r="A258">
        <v>4</v>
      </c>
      <c r="B258" t="str">
        <f>"1106"</f>
        <v>1106</v>
      </c>
      <c r="C258" t="str">
        <f>"Fabricação de malte"</f>
        <v>Fabricação de malte</v>
      </c>
    </row>
    <row r="259" spans="1:3" ht="15">
      <c r="A259">
        <v>5</v>
      </c>
      <c r="B259" t="str">
        <f>"11060"</f>
        <v>11060</v>
      </c>
      <c r="C259" t="str">
        <f>"Fabricação de malte"</f>
        <v>Fabricação de malte</v>
      </c>
    </row>
    <row r="260" spans="1:3" ht="15">
      <c r="A260">
        <v>4</v>
      </c>
      <c r="B260" t="str">
        <f>"1107"</f>
        <v>1107</v>
      </c>
      <c r="C260" t="str">
        <f>"Fabricação de refrigerantes; produção de águas minerais naturais e de outras àguas engarrafadas"</f>
        <v>Fabricação de refrigerantes; produção de águas minerais naturais e de outras àguas engarrafadas</v>
      </c>
    </row>
    <row r="261" spans="1:3" ht="15">
      <c r="A261">
        <v>5</v>
      </c>
      <c r="B261" t="str">
        <f>"11071"</f>
        <v>11071</v>
      </c>
      <c r="C261" t="str">
        <f>"Engarrafamento de águas minerais naturais e de nascente"</f>
        <v>Engarrafamento de águas minerais naturais e de nascente</v>
      </c>
    </row>
    <row r="262" spans="1:3" ht="15">
      <c r="A262">
        <v>5</v>
      </c>
      <c r="B262" t="str">
        <f>"11072"</f>
        <v>11072</v>
      </c>
      <c r="C262" t="str">
        <f>"Fabricação de refrigerantes e de outras bebidas não alcoólicas, n.e."</f>
        <v>Fabricação de refrigerantes e de outras bebidas não alcoólicas, n.e.</v>
      </c>
    </row>
    <row r="263" spans="1:3" ht="15">
      <c r="A263">
        <v>2</v>
      </c>
      <c r="B263" t="str">
        <f>"12"</f>
        <v>12</v>
      </c>
      <c r="C263" t="str">
        <f>"Indústria do tabaco"</f>
        <v>Indústria do tabaco</v>
      </c>
    </row>
    <row r="264" spans="1:3" ht="15">
      <c r="A264">
        <v>3</v>
      </c>
      <c r="B264" t="str">
        <f>"120"</f>
        <v>120</v>
      </c>
      <c r="C264" t="str">
        <f>"Indústria do tabaco"</f>
        <v>Indústria do tabaco</v>
      </c>
    </row>
    <row r="265" spans="1:3" ht="15">
      <c r="A265">
        <v>4</v>
      </c>
      <c r="B265" t="str">
        <f>"1200"</f>
        <v>1200</v>
      </c>
      <c r="C265" t="str">
        <f>"Indústria do tabaco"</f>
        <v>Indústria do tabaco</v>
      </c>
    </row>
    <row r="266" spans="1:3" ht="15">
      <c r="A266">
        <v>5</v>
      </c>
      <c r="B266" t="str">
        <f>"12000"</f>
        <v>12000</v>
      </c>
      <c r="C266" t="str">
        <f>"Preparação de tabaco"</f>
        <v>Preparação de tabaco</v>
      </c>
    </row>
    <row r="267" spans="1:3" ht="15">
      <c r="A267">
        <v>2</v>
      </c>
      <c r="B267" t="str">
        <f>"13"</f>
        <v>13</v>
      </c>
      <c r="C267" t="str">
        <f>"Fabricação de têxteis "</f>
        <v>Fabricação de têxteis </v>
      </c>
    </row>
    <row r="268" spans="1:3" ht="15">
      <c r="A268">
        <v>3</v>
      </c>
      <c r="B268" t="str">
        <f>"131"</f>
        <v>131</v>
      </c>
      <c r="C268" t="str">
        <f>"Preparação e fiação de fibras têxteis"</f>
        <v>Preparação e fiação de fibras têxteis</v>
      </c>
    </row>
    <row r="269" spans="1:3" ht="15">
      <c r="A269">
        <v>4</v>
      </c>
      <c r="B269" t="str">
        <f>"1310"</f>
        <v>1310</v>
      </c>
      <c r="C269" t="str">
        <f>"Preparação e fiação de fibras têxteis"</f>
        <v>Preparação e fiação de fibras têxteis</v>
      </c>
    </row>
    <row r="270" spans="1:3" ht="15">
      <c r="A270">
        <v>5</v>
      </c>
      <c r="B270" t="str">
        <f>"13101"</f>
        <v>13101</v>
      </c>
      <c r="C270" t="str">
        <f>"Preparação e fiação de fibras do tipo algodão"</f>
        <v>Preparação e fiação de fibras do tipo algodão</v>
      </c>
    </row>
    <row r="271" spans="1:3" ht="15">
      <c r="A271">
        <v>5</v>
      </c>
      <c r="B271" t="str">
        <f>"13102"</f>
        <v>13102</v>
      </c>
      <c r="C271" t="str">
        <f>"Preparação e fiação de fibras do tipo lã"</f>
        <v>Preparação e fiação de fibras do tipo lã</v>
      </c>
    </row>
    <row r="272" spans="1:3" ht="15">
      <c r="A272">
        <v>5</v>
      </c>
      <c r="B272" t="str">
        <f>"13103"</f>
        <v>13103</v>
      </c>
      <c r="C272" t="str">
        <f>"Preparação e fiação da seda e preparação e texturização de filamentos sintéticos e artificiais"</f>
        <v>Preparação e fiação da seda e preparação e texturização de filamentos sintéticos e artificiais</v>
      </c>
    </row>
    <row r="273" spans="1:3" ht="15">
      <c r="A273">
        <v>5</v>
      </c>
      <c r="B273" t="str">
        <f>"13104"</f>
        <v>13104</v>
      </c>
      <c r="C273" t="str">
        <f>"Fabricação de linhas de costura"</f>
        <v>Fabricação de linhas de costura</v>
      </c>
    </row>
    <row r="274" spans="1:3" ht="15">
      <c r="A274">
        <v>5</v>
      </c>
      <c r="B274" t="str">
        <f>"13105"</f>
        <v>13105</v>
      </c>
      <c r="C274" t="str">
        <f>"Preparação e fiação de linho e de outras fibras têxteis"</f>
        <v>Preparação e fiação de linho e de outras fibras têxteis</v>
      </c>
    </row>
    <row r="275" spans="1:3" ht="15">
      <c r="A275">
        <v>3</v>
      </c>
      <c r="B275" t="str">
        <f>"132"</f>
        <v>132</v>
      </c>
      <c r="C275" t="str">
        <f>"Tecelagem de têxteis"</f>
        <v>Tecelagem de têxteis</v>
      </c>
    </row>
    <row r="276" spans="1:3" ht="15">
      <c r="A276">
        <v>4</v>
      </c>
      <c r="B276" t="str">
        <f>"1320"</f>
        <v>1320</v>
      </c>
      <c r="C276" t="str">
        <f>"Tecelagem de têxteis"</f>
        <v>Tecelagem de têxteis</v>
      </c>
    </row>
    <row r="277" spans="1:3" ht="15">
      <c r="A277">
        <v>5</v>
      </c>
      <c r="B277" t="str">
        <f>"13201"</f>
        <v>13201</v>
      </c>
      <c r="C277" t="str">
        <f>"Tecelagem de fio do tipo algodão"</f>
        <v>Tecelagem de fio do tipo algodão</v>
      </c>
    </row>
    <row r="278" spans="1:3" ht="15">
      <c r="A278">
        <v>5</v>
      </c>
      <c r="B278" t="str">
        <f>"13202"</f>
        <v>13202</v>
      </c>
      <c r="C278" t="str">
        <f>"Tecelagem de fio do tipo lã"</f>
        <v>Tecelagem de fio do tipo lã</v>
      </c>
    </row>
    <row r="279" spans="1:3" ht="15">
      <c r="A279">
        <v>5</v>
      </c>
      <c r="B279" t="str">
        <f>"13203"</f>
        <v>13203</v>
      </c>
      <c r="C279" t="str">
        <f>"Tecelagem de fio do tipo seda e de outros têxteis"</f>
        <v>Tecelagem de fio do tipo seda e de outros têxteis</v>
      </c>
    </row>
    <row r="280" spans="1:3" ht="15">
      <c r="A280">
        <v>3</v>
      </c>
      <c r="B280" t="str">
        <f>"133"</f>
        <v>133</v>
      </c>
      <c r="C280" t="str">
        <f>"Acabamento de têxteis"</f>
        <v>Acabamento de têxteis</v>
      </c>
    </row>
    <row r="281" spans="1:3" ht="15">
      <c r="A281">
        <v>4</v>
      </c>
      <c r="B281" t="str">
        <f>"1330"</f>
        <v>1330</v>
      </c>
      <c r="C281" t="str">
        <f>"Acabamento de têxteis"</f>
        <v>Acabamento de têxteis</v>
      </c>
    </row>
    <row r="282" spans="1:3" ht="15">
      <c r="A282">
        <v>5</v>
      </c>
      <c r="B282" t="str">
        <f>"13301"</f>
        <v>13301</v>
      </c>
      <c r="C282" t="str">
        <f>"Branqueamento e tingimento"</f>
        <v>Branqueamento e tingimento</v>
      </c>
    </row>
    <row r="283" spans="1:3" ht="15">
      <c r="A283">
        <v>5</v>
      </c>
      <c r="B283" t="str">
        <f>"13302"</f>
        <v>13302</v>
      </c>
      <c r="C283" t="str">
        <f>"Estampagem "</f>
        <v>Estampagem </v>
      </c>
    </row>
    <row r="284" spans="1:3" ht="15">
      <c r="A284">
        <v>5</v>
      </c>
      <c r="B284" t="str">
        <f>"13303"</f>
        <v>13303</v>
      </c>
      <c r="C284" t="str">
        <f>"Acabamento de fios,  tecidos e artigos têxteis, n.e."</f>
        <v>Acabamento de fios,  tecidos e artigos têxteis, n.e.</v>
      </c>
    </row>
    <row r="285" spans="1:3" ht="15">
      <c r="A285">
        <v>3</v>
      </c>
      <c r="B285" t="str">
        <f>"139"</f>
        <v>139</v>
      </c>
      <c r="C285" t="str">
        <f>"Fabricação de outros têxteis"</f>
        <v>Fabricação de outros têxteis</v>
      </c>
    </row>
    <row r="286" spans="1:3" ht="15">
      <c r="A286">
        <v>4</v>
      </c>
      <c r="B286" t="str">
        <f>"1391"</f>
        <v>1391</v>
      </c>
      <c r="C286" t="str">
        <f>"Fabricação de tecidos de malha"</f>
        <v>Fabricação de tecidos de malha</v>
      </c>
    </row>
    <row r="287" spans="1:3" ht="15">
      <c r="A287">
        <v>5</v>
      </c>
      <c r="B287" t="str">
        <f>"13910"</f>
        <v>13910</v>
      </c>
      <c r="C287" t="str">
        <f>"Fabricação de tecidos de malha"</f>
        <v>Fabricação de tecidos de malha</v>
      </c>
    </row>
    <row r="288" spans="1:3" ht="15">
      <c r="A288">
        <v>4</v>
      </c>
      <c r="B288" t="str">
        <f>"1392"</f>
        <v>1392</v>
      </c>
      <c r="C288" t="str">
        <f>"Fabricação de artigos têxteis confeccionados, excepto vestuário"</f>
        <v>Fabricação de artigos têxteis confeccionados, excepto vestuário</v>
      </c>
    </row>
    <row r="289" spans="1:3" ht="15">
      <c r="A289">
        <v>5</v>
      </c>
      <c r="B289" t="str">
        <f>"13920"</f>
        <v>13920</v>
      </c>
      <c r="C289" t="str">
        <f>"Fabricação de artigos têxteis confeccionados, excepto vestuário"</f>
        <v>Fabricação de artigos têxteis confeccionados, excepto vestuário</v>
      </c>
    </row>
    <row r="290" spans="1:3" ht="15">
      <c r="A290">
        <v>4</v>
      </c>
      <c r="B290" t="str">
        <f>"1393"</f>
        <v>1393</v>
      </c>
      <c r="C290" t="str">
        <f>"Fabricação de tapetes e carpetes"</f>
        <v>Fabricação de tapetes e carpetes</v>
      </c>
    </row>
    <row r="291" spans="1:3" ht="15">
      <c r="A291">
        <v>5</v>
      </c>
      <c r="B291" t="str">
        <f>"13930"</f>
        <v>13930</v>
      </c>
      <c r="C291" t="str">
        <f>"Fabricação de tapetes e carpetes"</f>
        <v>Fabricação de tapetes e carpetes</v>
      </c>
    </row>
    <row r="292" spans="1:3" ht="15">
      <c r="A292">
        <v>4</v>
      </c>
      <c r="B292" t="str">
        <f>"1394"</f>
        <v>1394</v>
      </c>
      <c r="C292" t="str">
        <f>"Fabricação de cordoaria e redes"</f>
        <v>Fabricação de cordoaria e redes</v>
      </c>
    </row>
    <row r="293" spans="1:3" ht="15">
      <c r="A293">
        <v>5</v>
      </c>
      <c r="B293" t="str">
        <f>"13941"</f>
        <v>13941</v>
      </c>
      <c r="C293" t="str">
        <f>"Fabricação de cordoaria "</f>
        <v>Fabricação de cordoaria </v>
      </c>
    </row>
    <row r="294" spans="1:3" ht="15">
      <c r="A294">
        <v>5</v>
      </c>
      <c r="B294" t="str">
        <f>"13942"</f>
        <v>13942</v>
      </c>
      <c r="C294" t="str">
        <f>"Fabricação de redes "</f>
        <v>Fabricação de redes </v>
      </c>
    </row>
    <row r="295" spans="1:3" ht="15">
      <c r="A295">
        <v>4</v>
      </c>
      <c r="B295" t="str">
        <f>"1395"</f>
        <v>1395</v>
      </c>
      <c r="C295" t="str">
        <f>"Fabricação de não tecidos e respectivos artigos, excepto vestuário"</f>
        <v>Fabricação de não tecidos e respectivos artigos, excepto vestuário</v>
      </c>
    </row>
    <row r="296" spans="1:3" ht="15">
      <c r="A296">
        <v>5</v>
      </c>
      <c r="B296" t="str">
        <f>"13950"</f>
        <v>13950</v>
      </c>
      <c r="C296" t="str">
        <f>"Fabricação de não tecidos e respectivos artigos, excepto vestuário"</f>
        <v>Fabricação de não tecidos e respectivos artigos, excepto vestuário</v>
      </c>
    </row>
    <row r="297" spans="1:3" ht="15">
      <c r="A297">
        <v>4</v>
      </c>
      <c r="B297" t="str">
        <f>"1396"</f>
        <v>1396</v>
      </c>
      <c r="C297" t="str">
        <f>"Fabricação de têxteis para uso técnico e industrial"</f>
        <v>Fabricação de têxteis para uso técnico e industrial</v>
      </c>
    </row>
    <row r="298" spans="1:3" ht="15">
      <c r="A298">
        <v>5</v>
      </c>
      <c r="B298" t="str">
        <f>"13961"</f>
        <v>13961</v>
      </c>
      <c r="C298" t="str">
        <f>"Fabricação de passamanarias e sirgarias"</f>
        <v>Fabricação de passamanarias e sirgarias</v>
      </c>
    </row>
    <row r="299" spans="1:3" ht="15">
      <c r="A299">
        <v>5</v>
      </c>
      <c r="B299" t="str">
        <f>"13962"</f>
        <v>13962</v>
      </c>
      <c r="C299" t="str">
        <f>"Fabricação de têxteis para uso técnico e industrial, n.e."</f>
        <v>Fabricação de têxteis para uso técnico e industrial, n.e.</v>
      </c>
    </row>
    <row r="300" spans="1:3" ht="15">
      <c r="A300">
        <v>4</v>
      </c>
      <c r="B300" t="str">
        <f>"1399"</f>
        <v>1399</v>
      </c>
      <c r="C300" t="str">
        <f>"Fabricação de outros têxteis, n.e."</f>
        <v>Fabricação de outros têxteis, n.e.</v>
      </c>
    </row>
    <row r="301" spans="1:3" ht="15">
      <c r="A301">
        <v>5</v>
      </c>
      <c r="B301" t="str">
        <f>"13991"</f>
        <v>13991</v>
      </c>
      <c r="C301" t="str">
        <f>"Fabricação de bordados "</f>
        <v>Fabricação de bordados </v>
      </c>
    </row>
    <row r="302" spans="1:3" ht="15">
      <c r="A302">
        <v>5</v>
      </c>
      <c r="B302" t="str">
        <f>"13992"</f>
        <v>13992</v>
      </c>
      <c r="C302" t="str">
        <f>"Fabricação de rendas"</f>
        <v>Fabricação de rendas</v>
      </c>
    </row>
    <row r="303" spans="1:3" ht="15">
      <c r="A303">
        <v>5</v>
      </c>
      <c r="B303" t="str">
        <f>"13993"</f>
        <v>13993</v>
      </c>
      <c r="C303" t="str">
        <f>"Fabricação de outros  têxteis diversos, n.e."</f>
        <v>Fabricação de outros  têxteis diversos, n.e.</v>
      </c>
    </row>
    <row r="304" spans="1:3" ht="15">
      <c r="A304">
        <v>2</v>
      </c>
      <c r="B304" t="str">
        <f>"14"</f>
        <v>14</v>
      </c>
      <c r="C304" t="str">
        <f>"Indústria do vestuário"</f>
        <v>Indústria do vestuário</v>
      </c>
    </row>
    <row r="305" spans="1:3" ht="15">
      <c r="A305">
        <v>3</v>
      </c>
      <c r="B305" t="str">
        <f>"141"</f>
        <v>141</v>
      </c>
      <c r="C305" t="str">
        <f>"Confecção de artigos de vestuário, excepto artigos de peles com pêlo"</f>
        <v>Confecção de artigos de vestuário, excepto artigos de peles com pêlo</v>
      </c>
    </row>
    <row r="306" spans="1:3" ht="15">
      <c r="A306">
        <v>4</v>
      </c>
      <c r="B306" t="str">
        <f>"1411"</f>
        <v>1411</v>
      </c>
      <c r="C306" t="str">
        <f>"Confecção de vestuário em couro"</f>
        <v>Confecção de vestuário em couro</v>
      </c>
    </row>
    <row r="307" spans="1:3" ht="15">
      <c r="A307">
        <v>5</v>
      </c>
      <c r="B307" t="str">
        <f>"14110"</f>
        <v>14110</v>
      </c>
      <c r="C307" t="str">
        <f>"Confecção de vestuário em couro"</f>
        <v>Confecção de vestuário em couro</v>
      </c>
    </row>
    <row r="308" spans="1:3" ht="15">
      <c r="A308">
        <v>4</v>
      </c>
      <c r="B308" t="str">
        <f>"1412"</f>
        <v>1412</v>
      </c>
      <c r="C308" t="str">
        <f>"Confecção de vestuário de trabalho"</f>
        <v>Confecção de vestuário de trabalho</v>
      </c>
    </row>
    <row r="309" spans="1:3" ht="15">
      <c r="A309">
        <v>5</v>
      </c>
      <c r="B309" t="str">
        <f>"14120"</f>
        <v>14120</v>
      </c>
      <c r="C309" t="str">
        <f>"Confecção de vestuário de trabalho"</f>
        <v>Confecção de vestuário de trabalho</v>
      </c>
    </row>
    <row r="310" spans="1:3" ht="15">
      <c r="A310">
        <v>4</v>
      </c>
      <c r="B310" t="str">
        <f>"1413"</f>
        <v>1413</v>
      </c>
      <c r="C310" t="str">
        <f>"Confecção de outro vestuário exterior"</f>
        <v>Confecção de outro vestuário exterior</v>
      </c>
    </row>
    <row r="311" spans="1:3" ht="15">
      <c r="A311">
        <v>5</v>
      </c>
      <c r="B311" t="str">
        <f>"14131"</f>
        <v>14131</v>
      </c>
      <c r="C311" t="str">
        <f>"Confecção de outro vestuário exterior em série"</f>
        <v>Confecção de outro vestuário exterior em série</v>
      </c>
    </row>
    <row r="312" spans="1:3" ht="15">
      <c r="A312">
        <v>5</v>
      </c>
      <c r="B312" t="str">
        <f>"14132"</f>
        <v>14132</v>
      </c>
      <c r="C312" t="str">
        <f>"Confecção de outro vestuário exterior por medida"</f>
        <v>Confecção de outro vestuário exterior por medida</v>
      </c>
    </row>
    <row r="313" spans="1:3" ht="15">
      <c r="A313">
        <v>5</v>
      </c>
      <c r="B313" t="str">
        <f>"14133"</f>
        <v>14133</v>
      </c>
      <c r="C313" t="str">
        <f>"Actividades de acabamento de artigos de vestuário"</f>
        <v>Actividades de acabamento de artigos de vestuário</v>
      </c>
    </row>
    <row r="314" spans="1:3" ht="15">
      <c r="A314">
        <v>4</v>
      </c>
      <c r="B314" t="str">
        <f>"1414"</f>
        <v>1414</v>
      </c>
      <c r="C314" t="str">
        <f>"Confecção de vestuário interior"</f>
        <v>Confecção de vestuário interior</v>
      </c>
    </row>
    <row r="315" spans="1:3" ht="15">
      <c r="A315">
        <v>5</v>
      </c>
      <c r="B315" t="str">
        <f>"14140"</f>
        <v>14140</v>
      </c>
      <c r="C315" t="str">
        <f>"Confecção de vestuário interior"</f>
        <v>Confecção de vestuário interior</v>
      </c>
    </row>
    <row r="316" spans="1:3" ht="15">
      <c r="A316">
        <v>4</v>
      </c>
      <c r="B316" t="str">
        <f>"1419"</f>
        <v>1419</v>
      </c>
      <c r="C316" t="str">
        <f>"Confecção de outros artigos e acessórios de vestuário"</f>
        <v>Confecção de outros artigos e acessórios de vestuário</v>
      </c>
    </row>
    <row r="317" spans="1:3" ht="15">
      <c r="A317">
        <v>5</v>
      </c>
      <c r="B317" t="str">
        <f>"14190"</f>
        <v>14190</v>
      </c>
      <c r="C317" t="str">
        <f>"Confecção de outros artigos e acessórios de vestuário"</f>
        <v>Confecção de outros artigos e acessórios de vestuário</v>
      </c>
    </row>
    <row r="318" spans="1:3" ht="15">
      <c r="A318">
        <v>3</v>
      </c>
      <c r="B318" t="str">
        <f>"142"</f>
        <v>142</v>
      </c>
      <c r="C318" t="str">
        <f>"Fabricação de artigos de peles com pêlo"</f>
        <v>Fabricação de artigos de peles com pêlo</v>
      </c>
    </row>
    <row r="319" spans="1:3" ht="15">
      <c r="A319">
        <v>4</v>
      </c>
      <c r="B319" t="str">
        <f>"1420"</f>
        <v>1420</v>
      </c>
      <c r="C319" t="str">
        <f>"Fabricação de artigos de peles com pêlo"</f>
        <v>Fabricação de artigos de peles com pêlo</v>
      </c>
    </row>
    <row r="320" spans="1:3" ht="15">
      <c r="A320">
        <v>5</v>
      </c>
      <c r="B320" t="str">
        <f>"14200"</f>
        <v>14200</v>
      </c>
      <c r="C320" t="str">
        <f>"Fabricação de artigos de peles com pêlo"</f>
        <v>Fabricação de artigos de peles com pêlo</v>
      </c>
    </row>
    <row r="321" spans="1:3" ht="15">
      <c r="A321">
        <v>3</v>
      </c>
      <c r="B321" t="str">
        <f>"143"</f>
        <v>143</v>
      </c>
      <c r="C321" t="str">
        <f>"Fabricação de artigos de malha"</f>
        <v>Fabricação de artigos de malha</v>
      </c>
    </row>
    <row r="322" spans="1:3" ht="15">
      <c r="A322">
        <v>4</v>
      </c>
      <c r="B322" t="str">
        <f>"1431"</f>
        <v>1431</v>
      </c>
      <c r="C322" t="str">
        <f>"Fabricação de meias e similares de malha"</f>
        <v>Fabricação de meias e similares de malha</v>
      </c>
    </row>
    <row r="323" spans="1:3" ht="15">
      <c r="A323">
        <v>5</v>
      </c>
      <c r="B323" t="str">
        <f>"14310"</f>
        <v>14310</v>
      </c>
      <c r="C323" t="str">
        <f>"Fabricação de meias e similares de malha"</f>
        <v>Fabricação de meias e similares de malha</v>
      </c>
    </row>
    <row r="324" spans="1:3" ht="15">
      <c r="A324">
        <v>4</v>
      </c>
      <c r="B324" t="str">
        <f>"1439"</f>
        <v>1439</v>
      </c>
      <c r="C324" t="str">
        <f>"Fabricação de outro vestuário de malha"</f>
        <v>Fabricação de outro vestuário de malha</v>
      </c>
    </row>
    <row r="325" spans="1:3" ht="15">
      <c r="A325">
        <v>5</v>
      </c>
      <c r="B325" t="str">
        <f>"14390"</f>
        <v>14390</v>
      </c>
      <c r="C325" t="str">
        <f>"Fabricação de outro vestuário de malha"</f>
        <v>Fabricação de outro vestuário de malha</v>
      </c>
    </row>
    <row r="326" spans="1:3" ht="15">
      <c r="A326">
        <v>2</v>
      </c>
      <c r="B326" t="str">
        <f>"15"</f>
        <v>15</v>
      </c>
      <c r="C326" t="str">
        <f>"Indústria do couro e dos produtos do couro"</f>
        <v>Indústria do couro e dos produtos do couro</v>
      </c>
    </row>
    <row r="327" spans="1:3" ht="15">
      <c r="A327">
        <v>3</v>
      </c>
      <c r="B327" t="str">
        <f>"151"</f>
        <v>151</v>
      </c>
      <c r="C327" t="str">
        <f>"Curtimenta e acabamento de peles sem pêlo e com pêlo; fabricação de artigos de viagem e de uso pessoal, de marroquinaria, de correeiro e de seleiro"</f>
        <v>Curtimenta e acabamento de peles sem pêlo e com pêlo; fabricação de artigos de viagem e de uso pessoal, de marroquinaria, de correeiro e de seleiro</v>
      </c>
    </row>
    <row r="328" spans="1:3" ht="15">
      <c r="A328">
        <v>4</v>
      </c>
      <c r="B328" t="str">
        <f>"1511"</f>
        <v>1511</v>
      </c>
      <c r="C328" t="str">
        <f>"Curtimenta e acabamento de peles sem pêlo e com pêlo"</f>
        <v>Curtimenta e acabamento de peles sem pêlo e com pêlo</v>
      </c>
    </row>
    <row r="329" spans="1:3" ht="15">
      <c r="A329">
        <v>5</v>
      </c>
      <c r="B329" t="str">
        <f>"15111"</f>
        <v>15111</v>
      </c>
      <c r="C329" t="str">
        <f>"Curtimenta e acabamento de peles sem pêlo"</f>
        <v>Curtimenta e acabamento de peles sem pêlo</v>
      </c>
    </row>
    <row r="330" spans="1:3" ht="15">
      <c r="A330">
        <v>5</v>
      </c>
      <c r="B330" t="str">
        <f>"15112"</f>
        <v>15112</v>
      </c>
      <c r="C330" t="str">
        <f>"Fabricação de couro reconstituído"</f>
        <v>Fabricação de couro reconstituído</v>
      </c>
    </row>
    <row r="331" spans="1:3" ht="15">
      <c r="A331">
        <v>5</v>
      </c>
      <c r="B331" t="str">
        <f>"15113"</f>
        <v>15113</v>
      </c>
      <c r="C331" t="str">
        <f>"Curtimenta e acabamento de peles com pêlo"</f>
        <v>Curtimenta e acabamento de peles com pêlo</v>
      </c>
    </row>
    <row r="332" spans="1:3" ht="15">
      <c r="A332">
        <v>4</v>
      </c>
      <c r="B332" t="str">
        <f>"1512"</f>
        <v>1512</v>
      </c>
      <c r="C332" t="str">
        <f>"Fabricação de artigos de viagem e de uso pessoal, de marroquinaria, de correeiro e de seleiro"</f>
        <v>Fabricação de artigos de viagem e de uso pessoal, de marroquinaria, de correeiro e de seleiro</v>
      </c>
    </row>
    <row r="333" spans="1:3" ht="15">
      <c r="A333">
        <v>5</v>
      </c>
      <c r="B333" t="str">
        <f>"15120"</f>
        <v>15120</v>
      </c>
      <c r="C333" t="str">
        <f>"Fabricação de artigos de viagem e de uso pessoal, de marroquinaria, de correeiro e de seleiro"</f>
        <v>Fabricação de artigos de viagem e de uso pessoal, de marroquinaria, de correeiro e de seleiro</v>
      </c>
    </row>
    <row r="334" spans="1:3" ht="15">
      <c r="A334">
        <v>3</v>
      </c>
      <c r="B334" t="str">
        <f>"152"</f>
        <v>152</v>
      </c>
      <c r="C334" t="str">
        <f>"Indústria do calçado"</f>
        <v>Indústria do calçado</v>
      </c>
    </row>
    <row r="335" spans="1:3" ht="15">
      <c r="A335">
        <v>4</v>
      </c>
      <c r="B335" t="str">
        <f>"1520"</f>
        <v>1520</v>
      </c>
      <c r="C335" t="str">
        <f>"Indústria do calçado"</f>
        <v>Indústria do calçado</v>
      </c>
    </row>
    <row r="336" spans="1:3" ht="15">
      <c r="A336">
        <v>5</v>
      </c>
      <c r="B336" t="str">
        <f>"15201"</f>
        <v>15201</v>
      </c>
      <c r="C336" t="str">
        <f>"Fabricação de calçado"</f>
        <v>Fabricação de calçado</v>
      </c>
    </row>
    <row r="337" spans="1:3" ht="15">
      <c r="A337">
        <v>5</v>
      </c>
      <c r="B337" t="str">
        <f>"15202"</f>
        <v>15202</v>
      </c>
      <c r="C337" t="str">
        <f>"Fabricação de componentes para calçado"</f>
        <v>Fabricação de componentes para calçado</v>
      </c>
    </row>
    <row r="338" spans="1:3" ht="15">
      <c r="A338">
        <v>2</v>
      </c>
      <c r="B338" t="str">
        <f>"16"</f>
        <v>16</v>
      </c>
      <c r="C338" t="str">
        <f>"Indústrias da madeira e da cortiça e suas  obras, excepto mobiliário; Fabricação de obras de cestaria e de espartaria"</f>
        <v>Indústrias da madeira e da cortiça e suas  obras, excepto mobiliário; Fabricação de obras de cestaria e de espartaria</v>
      </c>
    </row>
    <row r="339" spans="1:3" ht="15">
      <c r="A339">
        <v>3</v>
      </c>
      <c r="B339" t="str">
        <f>"161"</f>
        <v>161</v>
      </c>
      <c r="C339" t="str">
        <f>"Serração, aplainamento e impregnação da madeira"</f>
        <v>Serração, aplainamento e impregnação da madeira</v>
      </c>
    </row>
    <row r="340" spans="1:3" ht="15">
      <c r="A340">
        <v>4</v>
      </c>
      <c r="B340" t="str">
        <f>"1610"</f>
        <v>1610</v>
      </c>
      <c r="C340" t="str">
        <f>"Serração, aplainamento e impregnação da madeira"</f>
        <v>Serração, aplainamento e impregnação da madeira</v>
      </c>
    </row>
    <row r="341" spans="1:3" ht="15">
      <c r="A341">
        <v>5</v>
      </c>
      <c r="B341" t="str">
        <f>"16101"</f>
        <v>16101</v>
      </c>
      <c r="C341" t="str">
        <f>"Serração de madeira"</f>
        <v>Serração de madeira</v>
      </c>
    </row>
    <row r="342" spans="1:3" ht="15">
      <c r="A342">
        <v>5</v>
      </c>
      <c r="B342" t="str">
        <f>"16102"</f>
        <v>16102</v>
      </c>
      <c r="C342" t="str">
        <f>"Impregnação de madeira"</f>
        <v>Impregnação de madeira</v>
      </c>
    </row>
    <row r="343" spans="1:3" ht="15">
      <c r="A343">
        <v>3</v>
      </c>
      <c r="B343" t="str">
        <f>"162"</f>
        <v>162</v>
      </c>
      <c r="C343" t="str">
        <f>"Fabricação de artigos de madeira, de cortiça, de espartaria e de cestaria, excepto mobiliário"</f>
        <v>Fabricação de artigos de madeira, de cortiça, de espartaria e de cestaria, excepto mobiliário</v>
      </c>
    </row>
    <row r="344" spans="1:3" ht="15">
      <c r="A344">
        <v>4</v>
      </c>
      <c r="B344" t="str">
        <f>"1621"</f>
        <v>1621</v>
      </c>
      <c r="C344" t="str">
        <f>"Fabricação de folheados e painéis à base de madeira"</f>
        <v>Fabricação de folheados e painéis à base de madeira</v>
      </c>
    </row>
    <row r="345" spans="1:3" ht="15">
      <c r="A345">
        <v>5</v>
      </c>
      <c r="B345" t="str">
        <f>"16211"</f>
        <v>16211</v>
      </c>
      <c r="C345" t="str">
        <f>"Fabricação de painéis de partículas de madeira"</f>
        <v>Fabricação de painéis de partículas de madeira</v>
      </c>
    </row>
    <row r="346" spans="1:3" ht="15">
      <c r="A346">
        <v>5</v>
      </c>
      <c r="B346" t="str">
        <f>"16212"</f>
        <v>16212</v>
      </c>
      <c r="C346" t="str">
        <f>"Fabricação de painéis de fibras de madeira"</f>
        <v>Fabricação de painéis de fibras de madeira</v>
      </c>
    </row>
    <row r="347" spans="1:3" ht="15">
      <c r="A347">
        <v>5</v>
      </c>
      <c r="B347" t="str">
        <f>"16213"</f>
        <v>16213</v>
      </c>
      <c r="C347" t="str">
        <f>"Fabricação de folheados, contraplacados, lamelados e de outros painéis"</f>
        <v>Fabricação de folheados, contraplacados, lamelados e de outros painéis</v>
      </c>
    </row>
    <row r="348" spans="1:3" ht="15">
      <c r="A348">
        <v>4</v>
      </c>
      <c r="B348" t="str">
        <f>"1622"</f>
        <v>1622</v>
      </c>
      <c r="C348" t="str">
        <f>"Parqueteria"</f>
        <v>Parqueteria</v>
      </c>
    </row>
    <row r="349" spans="1:3" ht="15">
      <c r="A349">
        <v>5</v>
      </c>
      <c r="B349" t="str">
        <f>"16220"</f>
        <v>16220</v>
      </c>
      <c r="C349" t="str">
        <f>"Parqueteria"</f>
        <v>Parqueteria</v>
      </c>
    </row>
    <row r="350" spans="1:3" ht="15">
      <c r="A350">
        <v>4</v>
      </c>
      <c r="B350" t="str">
        <f>"1623"</f>
        <v>1623</v>
      </c>
      <c r="C350" t="str">
        <f>"Fabricação de outras obras de carpintaria para a construção"</f>
        <v>Fabricação de outras obras de carpintaria para a construção</v>
      </c>
    </row>
    <row r="351" spans="1:3" ht="15">
      <c r="A351">
        <v>5</v>
      </c>
      <c r="B351" t="str">
        <f>"16230"</f>
        <v>16230</v>
      </c>
      <c r="C351" t="str">
        <f>"Fabricação de outras obras de carpintaria para a construção"</f>
        <v>Fabricação de outras obras de carpintaria para a construção</v>
      </c>
    </row>
    <row r="352" spans="1:3" ht="15">
      <c r="A352">
        <v>4</v>
      </c>
      <c r="B352" t="str">
        <f>"1624"</f>
        <v>1624</v>
      </c>
      <c r="C352" t="str">
        <f>"Fabricação de embalagens de madeira"</f>
        <v>Fabricação de embalagens de madeira</v>
      </c>
    </row>
    <row r="353" spans="1:3" ht="15">
      <c r="A353">
        <v>5</v>
      </c>
      <c r="B353" t="str">
        <f>"16240"</f>
        <v>16240</v>
      </c>
      <c r="C353" t="str">
        <f>"Fabricação de embalagens de madeira"</f>
        <v>Fabricação de embalagens de madeira</v>
      </c>
    </row>
    <row r="354" spans="1:3" ht="15">
      <c r="A354">
        <v>4</v>
      </c>
      <c r="B354" t="str">
        <f>"1629"</f>
        <v>1629</v>
      </c>
      <c r="C354" t="str">
        <f>"Fabricação de outras obras de madeira, de cestaria e espartaria; indústria da cortiça"</f>
        <v>Fabricação de outras obras de madeira, de cestaria e espartaria; indústria da cortiça</v>
      </c>
    </row>
    <row r="355" spans="1:3" ht="15">
      <c r="A355">
        <v>5</v>
      </c>
      <c r="B355" t="str">
        <f>"16291"</f>
        <v>16291</v>
      </c>
      <c r="C355" t="str">
        <f>"Fabricação de outras obras de madeira"</f>
        <v>Fabricação de outras obras de madeira</v>
      </c>
    </row>
    <row r="356" spans="1:3" ht="15">
      <c r="A356">
        <v>5</v>
      </c>
      <c r="B356" t="str">
        <f>"16292"</f>
        <v>16292</v>
      </c>
      <c r="C356" t="str">
        <f>"Fabricação de obras de cestaria e de espartaria"</f>
        <v>Fabricação de obras de cestaria e de espartaria</v>
      </c>
    </row>
    <row r="357" spans="1:3" ht="15">
      <c r="A357">
        <v>5</v>
      </c>
      <c r="B357" t="str">
        <f>"16293"</f>
        <v>16293</v>
      </c>
      <c r="C357" t="str">
        <f>"Indústria de preparação da cortiça"</f>
        <v>Indústria de preparação da cortiça</v>
      </c>
    </row>
    <row r="358" spans="1:3" ht="15">
      <c r="A358">
        <v>5</v>
      </c>
      <c r="B358" t="str">
        <f>"16294"</f>
        <v>16294</v>
      </c>
      <c r="C358" t="str">
        <f>"Fabricação de rolhas de cortiça"</f>
        <v>Fabricação de rolhas de cortiça</v>
      </c>
    </row>
    <row r="359" spans="1:3" ht="15">
      <c r="A359">
        <v>5</v>
      </c>
      <c r="B359" t="str">
        <f>"16295"</f>
        <v>16295</v>
      </c>
      <c r="C359" t="str">
        <f>"Fabricação de outros produtos de cortiça"</f>
        <v>Fabricação de outros produtos de cortiça</v>
      </c>
    </row>
    <row r="360" spans="1:3" ht="15">
      <c r="A360">
        <v>2</v>
      </c>
      <c r="B360" t="str">
        <f>"17"</f>
        <v>17</v>
      </c>
      <c r="C360" t="str">
        <f>"Fabricação de pasta, de papel, de cartão e seus artigos"</f>
        <v>Fabricação de pasta, de papel, de cartão e seus artigos</v>
      </c>
    </row>
    <row r="361" spans="1:3" ht="15">
      <c r="A361">
        <v>3</v>
      </c>
      <c r="B361" t="str">
        <f>"171"</f>
        <v>171</v>
      </c>
      <c r="C361" t="str">
        <f>"Fabricação de pasta, de papel e cartão (excepto canelado)"</f>
        <v>Fabricação de pasta, de papel e cartão (excepto canelado)</v>
      </c>
    </row>
    <row r="362" spans="1:3" ht="15">
      <c r="A362">
        <v>4</v>
      </c>
      <c r="B362" t="str">
        <f>"1711"</f>
        <v>1711</v>
      </c>
      <c r="C362" t="str">
        <f>"Fabricação de pasta"</f>
        <v>Fabricação de pasta</v>
      </c>
    </row>
    <row r="363" spans="1:3" ht="15">
      <c r="A363">
        <v>5</v>
      </c>
      <c r="B363" t="str">
        <f>"17110"</f>
        <v>17110</v>
      </c>
      <c r="C363" t="str">
        <f>"Fabricação de pasta"</f>
        <v>Fabricação de pasta</v>
      </c>
    </row>
    <row r="364" spans="1:3" ht="15">
      <c r="A364">
        <v>4</v>
      </c>
      <c r="B364" t="str">
        <f>"1712"</f>
        <v>1712</v>
      </c>
      <c r="C364" t="str">
        <f>"Fabricação de papel e de cartão (excepto canelado)"</f>
        <v>Fabricação de papel e de cartão (excepto canelado)</v>
      </c>
    </row>
    <row r="365" spans="1:3" ht="15">
      <c r="A365">
        <v>5</v>
      </c>
      <c r="B365" t="str">
        <f>"17120"</f>
        <v>17120</v>
      </c>
      <c r="C365" t="str">
        <f>"Fabricação de papel e de cartão (excepto canelado)"</f>
        <v>Fabricação de papel e de cartão (excepto canelado)</v>
      </c>
    </row>
    <row r="366" spans="1:3" ht="15">
      <c r="A366">
        <v>3</v>
      </c>
      <c r="B366" t="str">
        <f>"172"</f>
        <v>172</v>
      </c>
      <c r="C366" t="str">
        <f>"Fabricação de papel e de cartão canelados e de artigos de papel e de cartão"</f>
        <v>Fabricação de papel e de cartão canelados e de artigos de papel e de cartão</v>
      </c>
    </row>
    <row r="367" spans="1:3" ht="15">
      <c r="A367">
        <v>4</v>
      </c>
      <c r="B367" t="str">
        <f>"1721"</f>
        <v>1721</v>
      </c>
      <c r="C367" t="str">
        <f>"Fabricação de papel e de cartão canelados e de embalagens de papel e cartão"</f>
        <v>Fabricação de papel e de cartão canelados e de embalagens de papel e cartão</v>
      </c>
    </row>
    <row r="368" spans="1:3" ht="15">
      <c r="A368">
        <v>5</v>
      </c>
      <c r="B368" t="str">
        <f>"17211"</f>
        <v>17211</v>
      </c>
      <c r="C368" t="str">
        <f>"Fabricação de papel e de cartão canelados (inclui embalagens)"</f>
        <v>Fabricação de papel e de cartão canelados (inclui embalagens)</v>
      </c>
    </row>
    <row r="369" spans="1:3" ht="15">
      <c r="A369">
        <v>5</v>
      </c>
      <c r="B369" t="str">
        <f>"17212"</f>
        <v>17212</v>
      </c>
      <c r="C369" t="str">
        <f>"Fabricação de outras embalagens de papel e de cartão"</f>
        <v>Fabricação de outras embalagens de papel e de cartão</v>
      </c>
    </row>
    <row r="370" spans="1:3" ht="15">
      <c r="A370">
        <v>4</v>
      </c>
      <c r="B370" t="str">
        <f>"1722"</f>
        <v>1722</v>
      </c>
      <c r="C370" t="str">
        <f>"Fabricação de artigos de papel para uso doméstico e sanitário"</f>
        <v>Fabricação de artigos de papel para uso doméstico e sanitário</v>
      </c>
    </row>
    <row r="371" spans="1:3" ht="15">
      <c r="A371">
        <v>5</v>
      </c>
      <c r="B371" t="str">
        <f>"17220"</f>
        <v>17220</v>
      </c>
      <c r="C371" t="str">
        <f>"Fabricação de artigos de papel para uso doméstico e sanitário"</f>
        <v>Fabricação de artigos de papel para uso doméstico e sanitário</v>
      </c>
    </row>
    <row r="372" spans="1:3" ht="15">
      <c r="A372">
        <v>4</v>
      </c>
      <c r="B372" t="str">
        <f>"1723"</f>
        <v>1723</v>
      </c>
      <c r="C372" t="str">
        <f>"Fabricação de artigos de papel para papelaria"</f>
        <v>Fabricação de artigos de papel para papelaria</v>
      </c>
    </row>
    <row r="373" spans="1:3" ht="15">
      <c r="A373">
        <v>5</v>
      </c>
      <c r="B373" t="str">
        <f>"17230"</f>
        <v>17230</v>
      </c>
      <c r="C373" t="str">
        <f>"Fabricação de artigos de papel para papelaria"</f>
        <v>Fabricação de artigos de papel para papelaria</v>
      </c>
    </row>
    <row r="374" spans="1:3" ht="15">
      <c r="A374">
        <v>4</v>
      </c>
      <c r="B374" t="str">
        <f>"1724"</f>
        <v>1724</v>
      </c>
      <c r="C374" t="str">
        <f>"Fabricação de papel de parede"</f>
        <v>Fabricação de papel de parede</v>
      </c>
    </row>
    <row r="375" spans="1:3" ht="15">
      <c r="A375">
        <v>5</v>
      </c>
      <c r="B375" t="str">
        <f>"17240"</f>
        <v>17240</v>
      </c>
      <c r="C375" t="str">
        <f>"Fabricação de papel de parede"</f>
        <v>Fabricação de papel de parede</v>
      </c>
    </row>
    <row r="376" spans="1:3" ht="15">
      <c r="A376">
        <v>4</v>
      </c>
      <c r="B376" t="str">
        <f>"1729"</f>
        <v>1729</v>
      </c>
      <c r="C376" t="str">
        <f>"Fabricação de outros artigos de pasta de papel, de papel e de cartão"</f>
        <v>Fabricação de outros artigos de pasta de papel, de papel e de cartão</v>
      </c>
    </row>
    <row r="377" spans="1:3" ht="15">
      <c r="A377">
        <v>5</v>
      </c>
      <c r="B377" t="str">
        <f>"17290"</f>
        <v>17290</v>
      </c>
      <c r="C377" t="str">
        <f>"Fabricação de outros artigos de pasta de papel, de papel e de cartão"</f>
        <v>Fabricação de outros artigos de pasta de papel, de papel e de cartão</v>
      </c>
    </row>
    <row r="378" spans="1:3" ht="15">
      <c r="A378">
        <v>2</v>
      </c>
      <c r="B378" t="str">
        <f>"18"</f>
        <v>18</v>
      </c>
      <c r="C378" t="str">
        <f>"Impressão e reprodução de suportes gravados"</f>
        <v>Impressão e reprodução de suportes gravados</v>
      </c>
    </row>
    <row r="379" spans="1:3" ht="15">
      <c r="A379">
        <v>3</v>
      </c>
      <c r="B379" t="str">
        <f>"181"</f>
        <v>181</v>
      </c>
      <c r="C379" t="str">
        <f>"Impressão e actividades dos serviços relacionados com a impressão"</f>
        <v>Impressão e actividades dos serviços relacionados com a impressão</v>
      </c>
    </row>
    <row r="380" spans="1:3" ht="15">
      <c r="A380">
        <v>4</v>
      </c>
      <c r="B380" t="str">
        <f>"1811"</f>
        <v>1811</v>
      </c>
      <c r="C380" t="str">
        <f>"Impressão de jornais"</f>
        <v>Impressão de jornais</v>
      </c>
    </row>
    <row r="381" spans="1:3" ht="15">
      <c r="A381">
        <v>5</v>
      </c>
      <c r="B381" t="str">
        <f>"18110"</f>
        <v>18110</v>
      </c>
      <c r="C381" t="str">
        <f>"Impressão de jornais"</f>
        <v>Impressão de jornais</v>
      </c>
    </row>
    <row r="382" spans="1:3" ht="15">
      <c r="A382">
        <v>4</v>
      </c>
      <c r="B382" t="str">
        <f>"1812"</f>
        <v>1812</v>
      </c>
      <c r="C382" t="str">
        <f>"Outra impressão"</f>
        <v>Outra impressão</v>
      </c>
    </row>
    <row r="383" spans="1:3" ht="15">
      <c r="A383">
        <v>5</v>
      </c>
      <c r="B383" t="str">
        <f>"18120"</f>
        <v>18120</v>
      </c>
      <c r="C383" t="str">
        <f>"Outra impressão"</f>
        <v>Outra impressão</v>
      </c>
    </row>
    <row r="384" spans="1:3" ht="15">
      <c r="A384">
        <v>4</v>
      </c>
      <c r="B384" t="str">
        <f>"1813"</f>
        <v>1813</v>
      </c>
      <c r="C384" t="str">
        <f>"Actividades de preparação da impressão e de produtos media"</f>
        <v>Actividades de preparação da impressão e de produtos media</v>
      </c>
    </row>
    <row r="385" spans="1:3" ht="15">
      <c r="A385">
        <v>5</v>
      </c>
      <c r="B385" t="str">
        <f>"18130"</f>
        <v>18130</v>
      </c>
      <c r="C385" t="str">
        <f>"Actividades de preparação da impressão e de produtos media"</f>
        <v>Actividades de preparação da impressão e de produtos media</v>
      </c>
    </row>
    <row r="386" spans="1:3" ht="15">
      <c r="A386">
        <v>4</v>
      </c>
      <c r="B386" t="str">
        <f>"1814"</f>
        <v>1814</v>
      </c>
      <c r="C386" t="str">
        <f>"Encadernação  e actividades  relacionadas"</f>
        <v>Encadernação  e actividades  relacionadas</v>
      </c>
    </row>
    <row r="387" spans="1:3" ht="15">
      <c r="A387">
        <v>5</v>
      </c>
      <c r="B387" t="str">
        <f>"18140"</f>
        <v>18140</v>
      </c>
      <c r="C387" t="str">
        <f>"Encadernação  e actividades  relacionadas"</f>
        <v>Encadernação  e actividades  relacionadas</v>
      </c>
    </row>
    <row r="388" spans="1:3" ht="15">
      <c r="A388">
        <v>3</v>
      </c>
      <c r="B388" t="str">
        <f>"182"</f>
        <v>182</v>
      </c>
      <c r="C388" t="str">
        <f>"Reprodução de suportes gravados"</f>
        <v>Reprodução de suportes gravados</v>
      </c>
    </row>
    <row r="389" spans="1:3" ht="15">
      <c r="A389">
        <v>4</v>
      </c>
      <c r="B389" t="str">
        <f>"1820"</f>
        <v>1820</v>
      </c>
      <c r="C389" t="str">
        <f>"Reprodução de suportes gravados"</f>
        <v>Reprodução de suportes gravados</v>
      </c>
    </row>
    <row r="390" spans="1:3" ht="15">
      <c r="A390">
        <v>5</v>
      </c>
      <c r="B390" t="str">
        <f>"18200"</f>
        <v>18200</v>
      </c>
      <c r="C390" t="str">
        <f>"Reprodução de suportes gravados"</f>
        <v>Reprodução de suportes gravados</v>
      </c>
    </row>
    <row r="391" spans="1:3" ht="15">
      <c r="A391">
        <v>2</v>
      </c>
      <c r="B391" t="str">
        <f>"19"</f>
        <v>19</v>
      </c>
      <c r="C391" t="str">
        <f>"Fabricação de coque, produtos petrolíferos refinados e de aglomerados de combustíveis"</f>
        <v>Fabricação de coque, produtos petrolíferos refinados e de aglomerados de combustíveis</v>
      </c>
    </row>
    <row r="392" spans="1:3" ht="15">
      <c r="A392">
        <v>3</v>
      </c>
      <c r="B392" t="str">
        <f>"191"</f>
        <v>191</v>
      </c>
      <c r="C392" t="str">
        <f>"Fabricação de produtos de coqueria"</f>
        <v>Fabricação de produtos de coqueria</v>
      </c>
    </row>
    <row r="393" spans="1:3" ht="15">
      <c r="A393">
        <v>4</v>
      </c>
      <c r="B393" t="str">
        <f>"1910"</f>
        <v>1910</v>
      </c>
      <c r="C393" t="str">
        <f>"Fabricação de produtos de coqueria"</f>
        <v>Fabricação de produtos de coqueria</v>
      </c>
    </row>
    <row r="394" spans="1:3" ht="15">
      <c r="A394">
        <v>5</v>
      </c>
      <c r="B394" t="str">
        <f>"19100"</f>
        <v>19100</v>
      </c>
      <c r="C394" t="str">
        <f>"Fabricação de produtos de coqueria"</f>
        <v>Fabricação de produtos de coqueria</v>
      </c>
    </row>
    <row r="395" spans="1:3" ht="15">
      <c r="A395">
        <v>3</v>
      </c>
      <c r="B395" t="str">
        <f>"192"</f>
        <v>192</v>
      </c>
      <c r="C395" t="str">
        <f>"Fabricação de produtos petrolíferos refinados e de aglomerados de combustíveis"</f>
        <v>Fabricação de produtos petrolíferos refinados e de aglomerados de combustíveis</v>
      </c>
    </row>
    <row r="396" spans="1:3" ht="15">
      <c r="A396">
        <v>4</v>
      </c>
      <c r="B396" t="str">
        <f>"1920"</f>
        <v>1920</v>
      </c>
      <c r="C396" t="str">
        <f>"Fabricação de produtos petrolíferos refinados e de aglomerados de combustíveis"</f>
        <v>Fabricação de produtos petrolíferos refinados e de aglomerados de combustíveis</v>
      </c>
    </row>
    <row r="397" spans="1:3" ht="15">
      <c r="A397">
        <v>5</v>
      </c>
      <c r="B397" t="str">
        <f>"19201"</f>
        <v>19201</v>
      </c>
      <c r="C397" t="str">
        <f>"Fabricação de produtos petrolíferos refinados"</f>
        <v>Fabricação de produtos petrolíferos refinados</v>
      </c>
    </row>
    <row r="398" spans="1:3" ht="15">
      <c r="A398">
        <v>5</v>
      </c>
      <c r="B398" t="str">
        <f>"19202"</f>
        <v>19202</v>
      </c>
      <c r="C398" t="str">
        <f>"Fabricação de produtos petrolíferos a partir de resíduos"</f>
        <v>Fabricação de produtos petrolíferos a partir de resíduos</v>
      </c>
    </row>
    <row r="399" spans="1:3" ht="15">
      <c r="A399">
        <v>5</v>
      </c>
      <c r="B399" t="str">
        <f>"19203"</f>
        <v>19203</v>
      </c>
      <c r="C399" t="str">
        <f>"Fabricação de briquetes e aglomerados de hulha e lenhite"</f>
        <v>Fabricação de briquetes e aglomerados de hulha e lenhite</v>
      </c>
    </row>
    <row r="400" spans="1:3" ht="15">
      <c r="A400">
        <v>2</v>
      </c>
      <c r="B400" t="str">
        <f>"20"</f>
        <v>20</v>
      </c>
      <c r="C400" t="str">
        <f>"Fabricação de produtos químicos e de fibras sintéticas ou artificiais, excepto produtos farmacêuticos"</f>
        <v>Fabricação de produtos químicos e de fibras sintéticas ou artificiais, excepto produtos farmacêuticos</v>
      </c>
    </row>
    <row r="401" spans="1:3" ht="15">
      <c r="A401">
        <v>3</v>
      </c>
      <c r="B401" t="str">
        <f>"201"</f>
        <v>201</v>
      </c>
      <c r="C401" t="str">
        <f>"Fabricação de produtos químicos de base, adubos e compostos azotados, matérias plásticas e borracha sintética, sob formas primárias"</f>
        <v>Fabricação de produtos químicos de base, adubos e compostos azotados, matérias plásticas e borracha sintética, sob formas primárias</v>
      </c>
    </row>
    <row r="402" spans="1:3" ht="15">
      <c r="A402">
        <v>4</v>
      </c>
      <c r="B402" t="str">
        <f>"2011"</f>
        <v>2011</v>
      </c>
      <c r="C402" t="str">
        <f>"Fabricação de gases industriais"</f>
        <v>Fabricação de gases industriais</v>
      </c>
    </row>
    <row r="403" spans="1:3" ht="15">
      <c r="A403">
        <v>5</v>
      </c>
      <c r="B403" t="str">
        <f>"20110"</f>
        <v>20110</v>
      </c>
      <c r="C403" t="str">
        <f>"Fabricação de gases industriais"</f>
        <v>Fabricação de gases industriais</v>
      </c>
    </row>
    <row r="404" spans="1:3" ht="15">
      <c r="A404">
        <v>4</v>
      </c>
      <c r="B404" t="str">
        <f>"2012"</f>
        <v>2012</v>
      </c>
      <c r="C404" t="str">
        <f>"Fabricação de corantes e pigmentos"</f>
        <v>Fabricação de corantes e pigmentos</v>
      </c>
    </row>
    <row r="405" spans="1:3" ht="15">
      <c r="A405">
        <v>5</v>
      </c>
      <c r="B405" t="str">
        <f>"20120"</f>
        <v>20120</v>
      </c>
      <c r="C405" t="str">
        <f>"Fabricação de corantes e pigmentos"</f>
        <v>Fabricação de corantes e pigmentos</v>
      </c>
    </row>
    <row r="406" spans="1:3" ht="15">
      <c r="A406">
        <v>4</v>
      </c>
      <c r="B406" t="str">
        <f>"2013"</f>
        <v>2013</v>
      </c>
      <c r="C406" t="str">
        <f>"Fabricação de outros produtos químicos inorgânicos de base "</f>
        <v>Fabricação de outros produtos químicos inorgânicos de base </v>
      </c>
    </row>
    <row r="407" spans="1:3" ht="15">
      <c r="A407">
        <v>5</v>
      </c>
      <c r="B407" t="str">
        <f>"20130"</f>
        <v>20130</v>
      </c>
      <c r="C407" t="str">
        <f>"Fabricação de outros produtos químicos inorgânicos de base "</f>
        <v>Fabricação de outros produtos químicos inorgânicos de base </v>
      </c>
    </row>
    <row r="408" spans="1:3" ht="15">
      <c r="A408">
        <v>4</v>
      </c>
      <c r="B408" t="str">
        <f>"2014"</f>
        <v>2014</v>
      </c>
      <c r="C408" t="str">
        <f>"Fabricação de outros produtos químicos orgânicos de base"</f>
        <v>Fabricação de outros produtos químicos orgânicos de base</v>
      </c>
    </row>
    <row r="409" spans="1:3" ht="15">
      <c r="A409">
        <v>5</v>
      </c>
      <c r="B409" t="str">
        <f>"20141"</f>
        <v>20141</v>
      </c>
      <c r="C409" t="str">
        <f>"Fabricação de resinosos e seus derivados"</f>
        <v>Fabricação de resinosos e seus derivados</v>
      </c>
    </row>
    <row r="410" spans="1:3" ht="15">
      <c r="A410">
        <v>5</v>
      </c>
      <c r="B410" t="str">
        <f>"20142"</f>
        <v>20142</v>
      </c>
      <c r="C410" t="str">
        <f>"Fabricação de carvão (vegetal e animal) e produtos associados"</f>
        <v>Fabricação de carvão (vegetal e animal) e produtos associados</v>
      </c>
    </row>
    <row r="411" spans="1:3" ht="15">
      <c r="A411">
        <v>5</v>
      </c>
      <c r="B411" t="str">
        <f>"20143"</f>
        <v>20143</v>
      </c>
      <c r="C411" t="str">
        <f>"Fabricação de álcool etílico de fermentação"</f>
        <v>Fabricação de álcool etílico de fermentação</v>
      </c>
    </row>
    <row r="412" spans="1:3" ht="15">
      <c r="A412">
        <v>5</v>
      </c>
      <c r="B412" t="str">
        <f>"20144"</f>
        <v>20144</v>
      </c>
      <c r="C412" t="str">
        <f>"Fabricação de outros produtos químicos orgânicos de base, n.e."</f>
        <v>Fabricação de outros produtos químicos orgânicos de base, n.e.</v>
      </c>
    </row>
    <row r="413" spans="1:3" ht="15">
      <c r="A413">
        <v>4</v>
      </c>
      <c r="B413" t="str">
        <f>"2015"</f>
        <v>2015</v>
      </c>
      <c r="C413" t="str">
        <f>"Fabricação de adubos e de compostos azotados"</f>
        <v>Fabricação de adubos e de compostos azotados</v>
      </c>
    </row>
    <row r="414" spans="1:3" ht="15">
      <c r="A414">
        <v>5</v>
      </c>
      <c r="B414" t="str">
        <f>"20151"</f>
        <v>20151</v>
      </c>
      <c r="C414" t="str">
        <f>"Fabricação de adubos químicos ou minerais e de compostos azotados"</f>
        <v>Fabricação de adubos químicos ou minerais e de compostos azotados</v>
      </c>
    </row>
    <row r="415" spans="1:3" ht="15">
      <c r="A415">
        <v>5</v>
      </c>
      <c r="B415" t="str">
        <f>"20152"</f>
        <v>20152</v>
      </c>
      <c r="C415" t="str">
        <f>"Fabricação de adubos orgânicos e organo-minerais"</f>
        <v>Fabricação de adubos orgânicos e organo-minerais</v>
      </c>
    </row>
    <row r="416" spans="1:3" ht="15">
      <c r="A416">
        <v>4</v>
      </c>
      <c r="B416" t="str">
        <f>"2016"</f>
        <v>2016</v>
      </c>
      <c r="C416" t="str">
        <f>"Fabricação de matérias plásticas sob formas primárias"</f>
        <v>Fabricação de matérias plásticas sob formas primárias</v>
      </c>
    </row>
    <row r="417" spans="1:3" ht="15">
      <c r="A417">
        <v>5</v>
      </c>
      <c r="B417" t="str">
        <f>"20160"</f>
        <v>20160</v>
      </c>
      <c r="C417" t="str">
        <f>"Fabricação de matérias plásticas sob formas primárias"</f>
        <v>Fabricação de matérias plásticas sob formas primárias</v>
      </c>
    </row>
    <row r="418" spans="1:3" ht="15">
      <c r="A418">
        <v>4</v>
      </c>
      <c r="B418" t="str">
        <f>"2017"</f>
        <v>2017</v>
      </c>
      <c r="C418" t="str">
        <f>"Fabricação de borracha sintética sob formas primárias"</f>
        <v>Fabricação de borracha sintética sob formas primárias</v>
      </c>
    </row>
    <row r="419" spans="1:3" ht="15">
      <c r="A419">
        <v>5</v>
      </c>
      <c r="B419" t="str">
        <f>"20170"</f>
        <v>20170</v>
      </c>
      <c r="C419" t="str">
        <f>"Fabricação de borracha sintética sob formas primárias"</f>
        <v>Fabricação de borracha sintética sob formas primárias</v>
      </c>
    </row>
    <row r="420" spans="1:3" ht="15">
      <c r="A420">
        <v>3</v>
      </c>
      <c r="B420" t="str">
        <f>"202"</f>
        <v>202</v>
      </c>
      <c r="C420" t="str">
        <f>"Fabricação de pesticidas e  de outros produtos agroquímicos"</f>
        <v>Fabricação de pesticidas e  de outros produtos agroquímicos</v>
      </c>
    </row>
    <row r="421" spans="1:3" ht="15">
      <c r="A421">
        <v>4</v>
      </c>
      <c r="B421" t="str">
        <f>"2020"</f>
        <v>2020</v>
      </c>
      <c r="C421" t="str">
        <f>"Fabricação de pesticidas e de outros produtos agroquímicos"</f>
        <v>Fabricação de pesticidas e de outros produtos agroquímicos</v>
      </c>
    </row>
    <row r="422" spans="1:3" ht="15">
      <c r="A422">
        <v>5</v>
      </c>
      <c r="B422" t="str">
        <f>"20200"</f>
        <v>20200</v>
      </c>
      <c r="C422" t="str">
        <f>"Fabricação de pesticidas e de outros produtos agroquímicos"</f>
        <v>Fabricação de pesticidas e de outros produtos agroquímicos</v>
      </c>
    </row>
    <row r="423" spans="1:3" ht="15">
      <c r="A423">
        <v>3</v>
      </c>
      <c r="B423" t="str">
        <f>"203"</f>
        <v>203</v>
      </c>
      <c r="C423" t="str">
        <f>"Fabricação de tintas, vernizes e produtos similares; mastiques; tintas de impressão"</f>
        <v>Fabricação de tintas, vernizes e produtos similares; mastiques; tintas de impressão</v>
      </c>
    </row>
    <row r="424" spans="1:3" ht="15">
      <c r="A424">
        <v>4</v>
      </c>
      <c r="B424" t="str">
        <f>"2030"</f>
        <v>2030</v>
      </c>
      <c r="C424" t="str">
        <f>"Fabricação de tintas, vernizes e produtos similares; mastiques; tintas de impressão"</f>
        <v>Fabricação de tintas, vernizes e produtos similares; mastiques; tintas de impressão</v>
      </c>
    </row>
    <row r="425" spans="1:3" ht="15">
      <c r="A425">
        <v>5</v>
      </c>
      <c r="B425" t="str">
        <f>"20301"</f>
        <v>20301</v>
      </c>
      <c r="C425" t="str">
        <f>"Fabricação de tintas (excepto impressão), vernizes, mastiques e produtos similares"</f>
        <v>Fabricação de tintas (excepto impressão), vernizes, mastiques e produtos similares</v>
      </c>
    </row>
    <row r="426" spans="1:3" ht="15">
      <c r="A426">
        <v>5</v>
      </c>
      <c r="B426" t="str">
        <f>"20302"</f>
        <v>20302</v>
      </c>
      <c r="C426" t="str">
        <f>"Fabricação de tintas de impressão"</f>
        <v>Fabricação de tintas de impressão</v>
      </c>
    </row>
    <row r="427" spans="1:3" ht="15">
      <c r="A427">
        <v>5</v>
      </c>
      <c r="B427" t="str">
        <f>"20303"</f>
        <v>20303</v>
      </c>
      <c r="C427" t="str">
        <f>"Fabricação de pigmentos preparados, composições vitrificáveis e afins"</f>
        <v>Fabricação de pigmentos preparados, composições vitrificáveis e afins</v>
      </c>
    </row>
    <row r="428" spans="1:3" ht="15">
      <c r="A428">
        <v>3</v>
      </c>
      <c r="B428" t="str">
        <f>"204"</f>
        <v>204</v>
      </c>
      <c r="C428" t="str">
        <f>"Fabricação de sabões e detergentes, produtos de limpeza e de polimento, perfumes e produtos de higiene"</f>
        <v>Fabricação de sabões e detergentes, produtos de limpeza e de polimento, perfumes e produtos de higiene</v>
      </c>
    </row>
    <row r="429" spans="1:3" ht="15">
      <c r="A429">
        <v>4</v>
      </c>
      <c r="B429" t="str">
        <f>"2041"</f>
        <v>2041</v>
      </c>
      <c r="C429" t="str">
        <f>"Fabricação de sabões e detergentes, produtos de limpeza e de polimento"</f>
        <v>Fabricação de sabões e detergentes, produtos de limpeza e de polimento</v>
      </c>
    </row>
    <row r="430" spans="1:3" ht="15">
      <c r="A430">
        <v>5</v>
      </c>
      <c r="B430" t="str">
        <f>"20411"</f>
        <v>20411</v>
      </c>
      <c r="C430" t="str">
        <f>"Fabricação de sabões, detergentes e glicerina"</f>
        <v>Fabricação de sabões, detergentes e glicerina</v>
      </c>
    </row>
    <row r="431" spans="1:3" ht="15">
      <c r="A431">
        <v>5</v>
      </c>
      <c r="B431" t="str">
        <f>"20412"</f>
        <v>20412</v>
      </c>
      <c r="C431" t="str">
        <f>"Fabricação de produtos de limpeza, polimento e protecção"</f>
        <v>Fabricação de produtos de limpeza, polimento e protecção</v>
      </c>
    </row>
    <row r="432" spans="1:3" ht="15">
      <c r="A432">
        <v>4</v>
      </c>
      <c r="B432" t="str">
        <f>"2042"</f>
        <v>2042</v>
      </c>
      <c r="C432" t="str">
        <f>"Fabricação de perfumes, de cosméticos e de produtos de higiene"</f>
        <v>Fabricação de perfumes, de cosméticos e de produtos de higiene</v>
      </c>
    </row>
    <row r="433" spans="1:3" ht="15">
      <c r="A433">
        <v>5</v>
      </c>
      <c r="B433" t="str">
        <f>"20420"</f>
        <v>20420</v>
      </c>
      <c r="C433" t="str">
        <f>"Fabricação de perfumes, de cosméticos e de produtos de higiene"</f>
        <v>Fabricação de perfumes, de cosméticos e de produtos de higiene</v>
      </c>
    </row>
    <row r="434" spans="1:3" ht="15">
      <c r="A434">
        <v>3</v>
      </c>
      <c r="B434" t="str">
        <f>"205"</f>
        <v>205</v>
      </c>
      <c r="C434" t="str">
        <f>"Fabricação de outros produtos químicos"</f>
        <v>Fabricação de outros produtos químicos</v>
      </c>
    </row>
    <row r="435" spans="1:3" ht="15">
      <c r="A435">
        <v>4</v>
      </c>
      <c r="B435" t="str">
        <f>"2051"</f>
        <v>2051</v>
      </c>
      <c r="C435" t="str">
        <f>"Fabricação de explosivos e artigos de pirotecnia"</f>
        <v>Fabricação de explosivos e artigos de pirotecnia</v>
      </c>
    </row>
    <row r="436" spans="1:3" ht="15">
      <c r="A436">
        <v>5</v>
      </c>
      <c r="B436" t="str">
        <f>"20510"</f>
        <v>20510</v>
      </c>
      <c r="C436" t="str">
        <f>"Fabricação de explosivos e artigos de pirotecnia"</f>
        <v>Fabricação de explosivos e artigos de pirotecnia</v>
      </c>
    </row>
    <row r="437" spans="1:3" ht="15">
      <c r="A437">
        <v>4</v>
      </c>
      <c r="B437" t="str">
        <f>"2052"</f>
        <v>2052</v>
      </c>
      <c r="C437" t="str">
        <f>"Fabricação de colas"</f>
        <v>Fabricação de colas</v>
      </c>
    </row>
    <row r="438" spans="1:3" ht="15">
      <c r="A438">
        <v>5</v>
      </c>
      <c r="B438" t="str">
        <f>"20520"</f>
        <v>20520</v>
      </c>
      <c r="C438" t="str">
        <f>"Fabricação de colas"</f>
        <v>Fabricação de colas</v>
      </c>
    </row>
    <row r="439" spans="1:3" ht="15">
      <c r="A439">
        <v>4</v>
      </c>
      <c r="B439" t="str">
        <f>"2053"</f>
        <v>2053</v>
      </c>
      <c r="C439" t="str">
        <f>"Fabricação de óleos essenciais"</f>
        <v>Fabricação de óleos essenciais</v>
      </c>
    </row>
    <row r="440" spans="1:3" ht="15">
      <c r="A440">
        <v>5</v>
      </c>
      <c r="B440" t="str">
        <f>"20530"</f>
        <v>20530</v>
      </c>
      <c r="C440" t="str">
        <f>"Fabricação de óleos essenciais"</f>
        <v>Fabricação de óleos essenciais</v>
      </c>
    </row>
    <row r="441" spans="1:3" ht="15">
      <c r="A441">
        <v>4</v>
      </c>
      <c r="B441" t="str">
        <f>"2059"</f>
        <v>2059</v>
      </c>
      <c r="C441" t="str">
        <f>"Fabricação de outros produtos químicos, n.e."</f>
        <v>Fabricação de outros produtos químicos, n.e.</v>
      </c>
    </row>
    <row r="442" spans="1:3" ht="15">
      <c r="A442">
        <v>5</v>
      </c>
      <c r="B442" t="str">
        <f>"20591"</f>
        <v>20591</v>
      </c>
      <c r="C442" t="str">
        <f>"Fabricação de biodiesel"</f>
        <v>Fabricação de biodiesel</v>
      </c>
    </row>
    <row r="443" spans="1:3" ht="15">
      <c r="A443">
        <v>5</v>
      </c>
      <c r="B443" t="str">
        <f>"20592"</f>
        <v>20592</v>
      </c>
      <c r="C443" t="str">
        <f>"Fabricação de produtos químicos auxiliares para uso industrial "</f>
        <v>Fabricação de produtos químicos auxiliares para uso industrial </v>
      </c>
    </row>
    <row r="444" spans="1:3" ht="15">
      <c r="A444">
        <v>5</v>
      </c>
      <c r="B444" t="str">
        <f>"20593"</f>
        <v>20593</v>
      </c>
      <c r="C444" t="str">
        <f>"Fabricação de óleos e massas lubrificantes, com exclusão da efectuada nas refinarias"</f>
        <v>Fabricação de óleos e massas lubrificantes, com exclusão da efectuada nas refinarias</v>
      </c>
    </row>
    <row r="445" spans="1:3" ht="15">
      <c r="A445">
        <v>5</v>
      </c>
      <c r="B445" t="str">
        <f>"20594"</f>
        <v>20594</v>
      </c>
      <c r="C445" t="str">
        <f>"Fabricação de outros produtos químicos diversos, n.e."</f>
        <v>Fabricação de outros produtos químicos diversos, n.e.</v>
      </c>
    </row>
    <row r="446" spans="1:3" ht="15">
      <c r="A446">
        <v>3</v>
      </c>
      <c r="B446" t="str">
        <f>"206"</f>
        <v>206</v>
      </c>
      <c r="C446" t="str">
        <f>"Fabricação de fibras sintéticas ou artificiais"</f>
        <v>Fabricação de fibras sintéticas ou artificiais</v>
      </c>
    </row>
    <row r="447" spans="1:3" ht="15">
      <c r="A447">
        <v>4</v>
      </c>
      <c r="B447" t="str">
        <f>"2060"</f>
        <v>2060</v>
      </c>
      <c r="C447" t="str">
        <f>"Fabricação de fibras sintéticas ou artificiais"</f>
        <v>Fabricação de fibras sintéticas ou artificiais</v>
      </c>
    </row>
    <row r="448" spans="1:3" ht="15">
      <c r="A448">
        <v>5</v>
      </c>
      <c r="B448" t="str">
        <f>"20600"</f>
        <v>20600</v>
      </c>
      <c r="C448" t="str">
        <f>"Fabricação de fibras sintéticas ou artificiais"</f>
        <v>Fabricação de fibras sintéticas ou artificiais</v>
      </c>
    </row>
    <row r="449" spans="1:3" ht="15">
      <c r="A449">
        <v>2</v>
      </c>
      <c r="B449" t="str">
        <f>"21"</f>
        <v>21</v>
      </c>
      <c r="C449" t="str">
        <f>"Fabricação de produtos farmacêuticos de base e de  preparações farmacêuticas"</f>
        <v>Fabricação de produtos farmacêuticos de base e de  preparações farmacêuticas</v>
      </c>
    </row>
    <row r="450" spans="1:3" ht="15">
      <c r="A450">
        <v>3</v>
      </c>
      <c r="B450" t="str">
        <f>"211"</f>
        <v>211</v>
      </c>
      <c r="C450" t="str">
        <f>"Fabricação de produtos farmacêuticos de base"</f>
        <v>Fabricação de produtos farmacêuticos de base</v>
      </c>
    </row>
    <row r="451" spans="1:3" ht="15">
      <c r="A451">
        <v>4</v>
      </c>
      <c r="B451" t="str">
        <f>"2110"</f>
        <v>2110</v>
      </c>
      <c r="C451" t="str">
        <f>"Fabricação de produtos farmacêuticos de base"</f>
        <v>Fabricação de produtos farmacêuticos de base</v>
      </c>
    </row>
    <row r="452" spans="1:3" ht="15">
      <c r="A452">
        <v>5</v>
      </c>
      <c r="B452" t="str">
        <f>"21100"</f>
        <v>21100</v>
      </c>
      <c r="C452" t="str">
        <f>"Fabricação de produtos farmacêuticos de base"</f>
        <v>Fabricação de produtos farmacêuticos de base</v>
      </c>
    </row>
    <row r="453" spans="1:3" ht="15">
      <c r="A453">
        <v>3</v>
      </c>
      <c r="B453" t="str">
        <f>"212"</f>
        <v>212</v>
      </c>
      <c r="C453" t="str">
        <f>"Fabricação de preparações farmacêuticas"</f>
        <v>Fabricação de preparações farmacêuticas</v>
      </c>
    </row>
    <row r="454" spans="1:3" ht="15">
      <c r="A454">
        <v>4</v>
      </c>
      <c r="B454" t="str">
        <f>"2120"</f>
        <v>2120</v>
      </c>
      <c r="C454" t="str">
        <f>"Fabricação de preparações farmacêuticas"</f>
        <v>Fabricação de preparações farmacêuticas</v>
      </c>
    </row>
    <row r="455" spans="1:3" ht="15">
      <c r="A455">
        <v>5</v>
      </c>
      <c r="B455" t="str">
        <f>"21201"</f>
        <v>21201</v>
      </c>
      <c r="C455" t="str">
        <f>"Fabricação de medicamentos"</f>
        <v>Fabricação de medicamentos</v>
      </c>
    </row>
    <row r="456" spans="1:3" ht="15">
      <c r="A456">
        <v>5</v>
      </c>
      <c r="B456" t="str">
        <f>"21202"</f>
        <v>21202</v>
      </c>
      <c r="C456" t="str">
        <f>"Fabricação de outras preparações e de artigos farmacêuticos"</f>
        <v>Fabricação de outras preparações e de artigos farmacêuticos</v>
      </c>
    </row>
    <row r="457" spans="1:3" ht="15">
      <c r="A457">
        <v>2</v>
      </c>
      <c r="B457" t="str">
        <f>"22"</f>
        <v>22</v>
      </c>
      <c r="C457" t="str">
        <f>"Fabricação de artigos de borracha e de matérias plásticas"</f>
        <v>Fabricação de artigos de borracha e de matérias plásticas</v>
      </c>
    </row>
    <row r="458" spans="1:3" ht="15">
      <c r="A458">
        <v>3</v>
      </c>
      <c r="B458" t="str">
        <f>"221"</f>
        <v>221</v>
      </c>
      <c r="C458" t="str">
        <f>"Fabricação de artigos de borracha"</f>
        <v>Fabricação de artigos de borracha</v>
      </c>
    </row>
    <row r="459" spans="1:3" ht="15">
      <c r="A459">
        <v>4</v>
      </c>
      <c r="B459" t="str">
        <f>"2211"</f>
        <v>2211</v>
      </c>
      <c r="C459" t="str">
        <f>"Fabricação de pneus e câmaras-de-ar; reconstrução de pneus"</f>
        <v>Fabricação de pneus e câmaras-de-ar; reconstrução de pneus</v>
      </c>
    </row>
    <row r="460" spans="1:3" ht="15">
      <c r="A460">
        <v>5</v>
      </c>
      <c r="B460" t="str">
        <f>"22111"</f>
        <v>22111</v>
      </c>
      <c r="C460" t="str">
        <f>"Fabricação de pneus e câmaras-de-ar"</f>
        <v>Fabricação de pneus e câmaras-de-ar</v>
      </c>
    </row>
    <row r="461" spans="1:3" ht="15">
      <c r="A461">
        <v>5</v>
      </c>
      <c r="B461" t="str">
        <f>"22112"</f>
        <v>22112</v>
      </c>
      <c r="C461" t="str">
        <f>"Reconstrução de pneus"</f>
        <v>Reconstrução de pneus</v>
      </c>
    </row>
    <row r="462" spans="1:3" ht="15">
      <c r="A462">
        <v>4</v>
      </c>
      <c r="B462" t="str">
        <f>"2219"</f>
        <v>2219</v>
      </c>
      <c r="C462" t="str">
        <f>"Fabricação de outros produtos de borracha"</f>
        <v>Fabricação de outros produtos de borracha</v>
      </c>
    </row>
    <row r="463" spans="1:3" ht="15">
      <c r="A463">
        <v>5</v>
      </c>
      <c r="B463" t="str">
        <f>"22191"</f>
        <v>22191</v>
      </c>
      <c r="C463" t="str">
        <f>"Fabricação de componentes de borracha para calçado"</f>
        <v>Fabricação de componentes de borracha para calçado</v>
      </c>
    </row>
    <row r="464" spans="1:3" ht="15">
      <c r="A464">
        <v>5</v>
      </c>
      <c r="B464" t="str">
        <f>"22192"</f>
        <v>22192</v>
      </c>
      <c r="C464" t="str">
        <f>"Fabricação de outros produtos de borracha, n.e."</f>
        <v>Fabricação de outros produtos de borracha, n.e.</v>
      </c>
    </row>
    <row r="465" spans="1:3" ht="15">
      <c r="A465">
        <v>3</v>
      </c>
      <c r="B465" t="str">
        <f>"222"</f>
        <v>222</v>
      </c>
      <c r="C465" t="str">
        <f>"Fabricação de artigos de matérias plásticas"</f>
        <v>Fabricação de artigos de matérias plásticas</v>
      </c>
    </row>
    <row r="466" spans="1:3" ht="15">
      <c r="A466">
        <v>4</v>
      </c>
      <c r="B466" t="str">
        <f>"2221"</f>
        <v>2221</v>
      </c>
      <c r="C466" t="str">
        <f>"Fabricação de chapas, folhas, tubos e perfis de plástico"</f>
        <v>Fabricação de chapas, folhas, tubos e perfis de plástico</v>
      </c>
    </row>
    <row r="467" spans="1:3" ht="15">
      <c r="A467">
        <v>5</v>
      </c>
      <c r="B467" t="str">
        <f>"22210"</f>
        <v>22210</v>
      </c>
      <c r="C467" t="str">
        <f>"Fabricação de chapas, folhas, tubos e perfis de plástico"</f>
        <v>Fabricação de chapas, folhas, tubos e perfis de plástico</v>
      </c>
    </row>
    <row r="468" spans="1:3" ht="15">
      <c r="A468">
        <v>4</v>
      </c>
      <c r="B468" t="str">
        <f>"2222"</f>
        <v>2222</v>
      </c>
      <c r="C468" t="str">
        <f>"Fabricação de embalagens de plástico"</f>
        <v>Fabricação de embalagens de plástico</v>
      </c>
    </row>
    <row r="469" spans="1:3" ht="15">
      <c r="A469">
        <v>5</v>
      </c>
      <c r="B469" t="str">
        <f>"22220"</f>
        <v>22220</v>
      </c>
      <c r="C469" t="str">
        <f>"Fabricação de embalagens de plástico"</f>
        <v>Fabricação de embalagens de plástico</v>
      </c>
    </row>
    <row r="470" spans="1:3" ht="15">
      <c r="A470">
        <v>4</v>
      </c>
      <c r="B470" t="str">
        <f>"2223"</f>
        <v>2223</v>
      </c>
      <c r="C470" t="str">
        <f>"Fabricação de artigos de plástico para a construção"</f>
        <v>Fabricação de artigos de plástico para a construção</v>
      </c>
    </row>
    <row r="471" spans="1:3" ht="15">
      <c r="A471">
        <v>5</v>
      </c>
      <c r="B471" t="str">
        <f>"22230"</f>
        <v>22230</v>
      </c>
      <c r="C471" t="str">
        <f>"Fabricação de artigos de plástico para a construção"</f>
        <v>Fabricação de artigos de plástico para a construção</v>
      </c>
    </row>
    <row r="472" spans="1:3" ht="15">
      <c r="A472">
        <v>4</v>
      </c>
      <c r="B472" t="str">
        <f>"2229"</f>
        <v>2229</v>
      </c>
      <c r="C472" t="str">
        <f>"Fabricação de outros artigos de plástico"</f>
        <v>Fabricação de outros artigos de plástico</v>
      </c>
    </row>
    <row r="473" spans="1:3" ht="15">
      <c r="A473">
        <v>5</v>
      </c>
      <c r="B473" t="str">
        <f>"22291"</f>
        <v>22291</v>
      </c>
      <c r="C473" t="str">
        <f>"Fabricação de componentes de plástico para calçado"</f>
        <v>Fabricação de componentes de plástico para calçado</v>
      </c>
    </row>
    <row r="474" spans="1:3" ht="15">
      <c r="A474">
        <v>5</v>
      </c>
      <c r="B474" t="str">
        <f>"22292"</f>
        <v>22292</v>
      </c>
      <c r="C474" t="str">
        <f>"Fabricação de outros artigos de plástico, n.e."</f>
        <v>Fabricação de outros artigos de plástico, n.e.</v>
      </c>
    </row>
    <row r="475" spans="1:3" ht="15">
      <c r="A475">
        <v>2</v>
      </c>
      <c r="B475" t="str">
        <f>"23"</f>
        <v>23</v>
      </c>
      <c r="C475" t="str">
        <f>"Fabrico de outros produtos minerais não metálicos "</f>
        <v>Fabrico de outros produtos minerais não metálicos </v>
      </c>
    </row>
    <row r="476" spans="1:3" ht="15">
      <c r="A476">
        <v>3</v>
      </c>
      <c r="B476" t="str">
        <f>"231"</f>
        <v>231</v>
      </c>
      <c r="C476" t="str">
        <f>"Fabricação de vidro e artigos de vidro"</f>
        <v>Fabricação de vidro e artigos de vidro</v>
      </c>
    </row>
    <row r="477" spans="1:3" ht="15">
      <c r="A477">
        <v>4</v>
      </c>
      <c r="B477" t="str">
        <f>"2311"</f>
        <v>2311</v>
      </c>
      <c r="C477" t="str">
        <f>"Fabricação de vidro plano"</f>
        <v>Fabricação de vidro plano</v>
      </c>
    </row>
    <row r="478" spans="1:3" ht="15">
      <c r="A478">
        <v>5</v>
      </c>
      <c r="B478" t="str">
        <f>"23110"</f>
        <v>23110</v>
      </c>
      <c r="C478" t="str">
        <f>"Fabricação de vidro plano"</f>
        <v>Fabricação de vidro plano</v>
      </c>
    </row>
    <row r="479" spans="1:3" ht="15">
      <c r="A479">
        <v>4</v>
      </c>
      <c r="B479" t="str">
        <f>"2312"</f>
        <v>2312</v>
      </c>
      <c r="C479" t="str">
        <f>"Moldagem e transformação de vidro plano"</f>
        <v>Moldagem e transformação de vidro plano</v>
      </c>
    </row>
    <row r="480" spans="1:3" ht="15">
      <c r="A480">
        <v>5</v>
      </c>
      <c r="B480" t="str">
        <f>"23120"</f>
        <v>23120</v>
      </c>
      <c r="C480" t="str">
        <f>"Moldagem e transformação de vidro plano"</f>
        <v>Moldagem e transformação de vidro plano</v>
      </c>
    </row>
    <row r="481" spans="1:3" ht="15">
      <c r="A481">
        <v>4</v>
      </c>
      <c r="B481" t="str">
        <f>"2313"</f>
        <v>2313</v>
      </c>
      <c r="C481" t="str">
        <f>"Fabricação de vidro de embalagem e cristalaria (vidro oco)"</f>
        <v>Fabricação de vidro de embalagem e cristalaria (vidro oco)</v>
      </c>
    </row>
    <row r="482" spans="1:3" ht="15">
      <c r="A482">
        <v>5</v>
      </c>
      <c r="B482" t="str">
        <f>"23131"</f>
        <v>23131</v>
      </c>
      <c r="C482" t="str">
        <f>"Fabricação de vidro de embalagem "</f>
        <v>Fabricação de vidro de embalagem </v>
      </c>
    </row>
    <row r="483" spans="1:3" ht="15">
      <c r="A483">
        <v>5</v>
      </c>
      <c r="B483" t="str">
        <f>"23132"</f>
        <v>23132</v>
      </c>
      <c r="C483" t="str">
        <f>"Cristalaria"</f>
        <v>Cristalaria</v>
      </c>
    </row>
    <row r="484" spans="1:3" ht="15">
      <c r="A484">
        <v>4</v>
      </c>
      <c r="B484" t="str">
        <f>"2314"</f>
        <v>2314</v>
      </c>
      <c r="C484" t="str">
        <f>"Fabricação de fibras de vidro"</f>
        <v>Fabricação de fibras de vidro</v>
      </c>
    </row>
    <row r="485" spans="1:3" ht="15">
      <c r="A485">
        <v>5</v>
      </c>
      <c r="B485" t="str">
        <f>"23140"</f>
        <v>23140</v>
      </c>
      <c r="C485" t="str">
        <f>"Fabricação de fibras de vidro"</f>
        <v>Fabricação de fibras de vidro</v>
      </c>
    </row>
    <row r="486" spans="1:3" ht="15">
      <c r="A486">
        <v>4</v>
      </c>
      <c r="B486" t="str">
        <f>"2319"</f>
        <v>2319</v>
      </c>
      <c r="C486" t="str">
        <f>"Fabricação e transformação de outro vidro (inclui vidro técnico)"</f>
        <v>Fabricação e transformação de outro vidro (inclui vidro técnico)</v>
      </c>
    </row>
    <row r="487" spans="1:3" ht="15">
      <c r="A487">
        <v>5</v>
      </c>
      <c r="B487" t="str">
        <f>"23190"</f>
        <v>23190</v>
      </c>
      <c r="C487" t="str">
        <f>"Fabricação e transformação de outro vidro (inclui vidro técnico)"</f>
        <v>Fabricação e transformação de outro vidro (inclui vidro técnico)</v>
      </c>
    </row>
    <row r="488" spans="1:3" ht="15">
      <c r="A488">
        <v>3</v>
      </c>
      <c r="B488" t="str">
        <f>"232"</f>
        <v>232</v>
      </c>
      <c r="C488" t="str">
        <f>"Fabricação de produtos cerâmicos refractários"</f>
        <v>Fabricação de produtos cerâmicos refractários</v>
      </c>
    </row>
    <row r="489" spans="1:3" ht="15">
      <c r="A489">
        <v>4</v>
      </c>
      <c r="B489" t="str">
        <f>"2320"</f>
        <v>2320</v>
      </c>
      <c r="C489" t="str">
        <f>"Fabricação de produtos cerâmicos refractários"</f>
        <v>Fabricação de produtos cerâmicos refractários</v>
      </c>
    </row>
    <row r="490" spans="1:3" ht="15">
      <c r="A490">
        <v>5</v>
      </c>
      <c r="B490" t="str">
        <f>"23200"</f>
        <v>23200</v>
      </c>
      <c r="C490" t="str">
        <f>"Fabricação de produtos cerâmicos refractários"</f>
        <v>Fabricação de produtos cerâmicos refractários</v>
      </c>
    </row>
    <row r="491" spans="1:3" ht="15">
      <c r="A491">
        <v>3</v>
      </c>
      <c r="B491" t="str">
        <f>"233"</f>
        <v>233</v>
      </c>
      <c r="C491" t="str">
        <f>"Fabricação de produtos cerâmicos para a construção"</f>
        <v>Fabricação de produtos cerâmicos para a construção</v>
      </c>
    </row>
    <row r="492" spans="1:3" ht="15">
      <c r="A492">
        <v>4</v>
      </c>
      <c r="B492" t="str">
        <f>"2331"</f>
        <v>2331</v>
      </c>
      <c r="C492" t="str">
        <f>"Fabricação de azulejos, ladrilhos, mosaicos e placas de cerâmica"</f>
        <v>Fabricação de azulejos, ladrilhos, mosaicos e placas de cerâmica</v>
      </c>
    </row>
    <row r="493" spans="1:3" ht="15">
      <c r="A493">
        <v>5</v>
      </c>
      <c r="B493" t="str">
        <f>"23311"</f>
        <v>23311</v>
      </c>
      <c r="C493" t="str">
        <f>"Fabricação de azulejos "</f>
        <v>Fabricação de azulejos </v>
      </c>
    </row>
    <row r="494" spans="1:3" ht="15">
      <c r="A494">
        <v>5</v>
      </c>
      <c r="B494" t="str">
        <f>"23312"</f>
        <v>23312</v>
      </c>
      <c r="C494" t="str">
        <f>"Fabricação de ladrilhos, mosaicos e placas de cerâmica"</f>
        <v>Fabricação de ladrilhos, mosaicos e placas de cerâmica</v>
      </c>
    </row>
    <row r="495" spans="1:3" ht="15">
      <c r="A495">
        <v>4</v>
      </c>
      <c r="B495" t="str">
        <f>"2332"</f>
        <v>2332</v>
      </c>
      <c r="C495" t="str">
        <f>"Fabricação de tijolos, telhas e de outros produtos cerâmicos para a construção"</f>
        <v>Fabricação de tijolos, telhas e de outros produtos cerâmicos para a construção</v>
      </c>
    </row>
    <row r="496" spans="1:3" ht="15">
      <c r="A496">
        <v>5</v>
      </c>
      <c r="B496" t="str">
        <f>"23321"</f>
        <v>23321</v>
      </c>
      <c r="C496" t="str">
        <f>"Fabricação de tijolos"</f>
        <v>Fabricação de tijolos</v>
      </c>
    </row>
    <row r="497" spans="1:3" ht="15">
      <c r="A497">
        <v>5</v>
      </c>
      <c r="B497" t="str">
        <f>"23322"</f>
        <v>23322</v>
      </c>
      <c r="C497" t="str">
        <f>"Fabricação de telhas"</f>
        <v>Fabricação de telhas</v>
      </c>
    </row>
    <row r="498" spans="1:3" ht="15">
      <c r="A498">
        <v>5</v>
      </c>
      <c r="B498" t="str">
        <f>"23323"</f>
        <v>23323</v>
      </c>
      <c r="C498" t="str">
        <f>"Fabricação de abobadilhas"</f>
        <v>Fabricação de abobadilhas</v>
      </c>
    </row>
    <row r="499" spans="1:3" ht="15">
      <c r="A499">
        <v>5</v>
      </c>
      <c r="B499" t="str">
        <f>"23324"</f>
        <v>23324</v>
      </c>
      <c r="C499" t="str">
        <f>"Fabricação de outros produtos cerâmicos para a construção"</f>
        <v>Fabricação de outros produtos cerâmicos para a construção</v>
      </c>
    </row>
    <row r="500" spans="1:3" ht="15">
      <c r="A500">
        <v>3</v>
      </c>
      <c r="B500" t="str">
        <f>"234"</f>
        <v>234</v>
      </c>
      <c r="C500" t="str">
        <f>"Fabricação de outros  produtos de porcelana  e cerâmicos não refractários"</f>
        <v>Fabricação de outros  produtos de porcelana  e cerâmicos não refractários</v>
      </c>
    </row>
    <row r="501" spans="1:3" ht="15">
      <c r="A501">
        <v>4</v>
      </c>
      <c r="B501" t="str">
        <f>"2341"</f>
        <v>2341</v>
      </c>
      <c r="C501" t="str">
        <f>"Fabricação de artigos cerâmicos de uso doméstico e ornamental"</f>
        <v>Fabricação de artigos cerâmicos de uso doméstico e ornamental</v>
      </c>
    </row>
    <row r="502" spans="1:3" ht="15">
      <c r="A502">
        <v>5</v>
      </c>
      <c r="B502" t="str">
        <f>"23411"</f>
        <v>23411</v>
      </c>
      <c r="C502" t="str">
        <f>"Olaria de barro"</f>
        <v>Olaria de barro</v>
      </c>
    </row>
    <row r="503" spans="1:3" ht="15">
      <c r="A503">
        <v>5</v>
      </c>
      <c r="B503" t="str">
        <f>"23412"</f>
        <v>23412</v>
      </c>
      <c r="C503" t="str">
        <f>"Fabricação de artigos de uso doméstico de faiança, porcelana e grés fino"</f>
        <v>Fabricação de artigos de uso doméstico de faiança, porcelana e grés fino</v>
      </c>
    </row>
    <row r="504" spans="1:3" ht="15">
      <c r="A504">
        <v>5</v>
      </c>
      <c r="B504" t="str">
        <f>"23413"</f>
        <v>23413</v>
      </c>
      <c r="C504" t="str">
        <f>"Fabricação de artigos de ornamentação de faiança, porcelana e grés fino"</f>
        <v>Fabricação de artigos de ornamentação de faiança, porcelana e grés fino</v>
      </c>
    </row>
    <row r="505" spans="1:3" ht="15">
      <c r="A505">
        <v>5</v>
      </c>
      <c r="B505" t="str">
        <f>"23414"</f>
        <v>23414</v>
      </c>
      <c r="C505" t="str">
        <f>"Actividades de decoração de artigos cerâmicos de uso doméstico e ornamental"</f>
        <v>Actividades de decoração de artigos cerâmicos de uso doméstico e ornamental</v>
      </c>
    </row>
    <row r="506" spans="1:3" ht="15">
      <c r="A506">
        <v>4</v>
      </c>
      <c r="B506" t="str">
        <f>"2342"</f>
        <v>2342</v>
      </c>
      <c r="C506" t="str">
        <f>"Fabricação de artigos cerâmicos para usos sanitários"</f>
        <v>Fabricação de artigos cerâmicos para usos sanitários</v>
      </c>
    </row>
    <row r="507" spans="1:3" ht="15">
      <c r="A507">
        <v>5</v>
      </c>
      <c r="B507" t="str">
        <f>"23420"</f>
        <v>23420</v>
      </c>
      <c r="C507" t="str">
        <f>"Fabricação de artigos cerâmicos para usos sanitários"</f>
        <v>Fabricação de artigos cerâmicos para usos sanitários</v>
      </c>
    </row>
    <row r="508" spans="1:3" ht="15">
      <c r="A508">
        <v>4</v>
      </c>
      <c r="B508" t="str">
        <f>"2343"</f>
        <v>2343</v>
      </c>
      <c r="C508" t="str">
        <f>"Fabricação de isoladores e peças isolantes em cerâmica"</f>
        <v>Fabricação de isoladores e peças isolantes em cerâmica</v>
      </c>
    </row>
    <row r="509" spans="1:3" ht="15">
      <c r="A509">
        <v>5</v>
      </c>
      <c r="B509" t="str">
        <f>"23430"</f>
        <v>23430</v>
      </c>
      <c r="C509" t="str">
        <f>"Fabricação de isoladores e peças isolantes em cerâmica"</f>
        <v>Fabricação de isoladores e peças isolantes em cerâmica</v>
      </c>
    </row>
    <row r="510" spans="1:3" ht="15">
      <c r="A510">
        <v>4</v>
      </c>
      <c r="B510" t="str">
        <f>"2344"</f>
        <v>2344</v>
      </c>
      <c r="C510" t="str">
        <f>"Fabricação de outros produtos em cerâmica para usos técnicos"</f>
        <v>Fabricação de outros produtos em cerâmica para usos técnicos</v>
      </c>
    </row>
    <row r="511" spans="1:3" ht="15">
      <c r="A511">
        <v>5</v>
      </c>
      <c r="B511" t="str">
        <f>"23440"</f>
        <v>23440</v>
      </c>
      <c r="C511" t="str">
        <f>"Fabricação de outros produtos em cerâmica para usos técnicos"</f>
        <v>Fabricação de outros produtos em cerâmica para usos técnicos</v>
      </c>
    </row>
    <row r="512" spans="1:3" ht="15">
      <c r="A512">
        <v>4</v>
      </c>
      <c r="B512" t="str">
        <f>"2349"</f>
        <v>2349</v>
      </c>
      <c r="C512" t="str">
        <f>"Fabricação de outros produtos cerâmicos não refractários"</f>
        <v>Fabricação de outros produtos cerâmicos não refractários</v>
      </c>
    </row>
    <row r="513" spans="1:3" ht="15">
      <c r="A513">
        <v>5</v>
      </c>
      <c r="B513" t="str">
        <f>"23490"</f>
        <v>23490</v>
      </c>
      <c r="C513" t="str">
        <f>"Fabricação de outros produtos cerâmicos não refractários"</f>
        <v>Fabricação de outros produtos cerâmicos não refractários</v>
      </c>
    </row>
    <row r="514" spans="1:3" ht="15">
      <c r="A514">
        <v>3</v>
      </c>
      <c r="B514" t="str">
        <f>"235"</f>
        <v>235</v>
      </c>
      <c r="C514" t="str">
        <f>"Fabricação de cimento, cal e gesso"</f>
        <v>Fabricação de cimento, cal e gesso</v>
      </c>
    </row>
    <row r="515" spans="1:3" ht="15">
      <c r="A515">
        <v>4</v>
      </c>
      <c r="B515" t="str">
        <f>"2351"</f>
        <v>2351</v>
      </c>
      <c r="C515" t="str">
        <f>"Fabricação de cimento"</f>
        <v>Fabricação de cimento</v>
      </c>
    </row>
    <row r="516" spans="1:3" ht="15">
      <c r="A516">
        <v>5</v>
      </c>
      <c r="B516" t="str">
        <f>"23510"</f>
        <v>23510</v>
      </c>
      <c r="C516" t="str">
        <f>"Fabricação de cimento"</f>
        <v>Fabricação de cimento</v>
      </c>
    </row>
    <row r="517" spans="1:3" ht="15">
      <c r="A517">
        <v>4</v>
      </c>
      <c r="B517" t="str">
        <f>"2352"</f>
        <v>2352</v>
      </c>
      <c r="C517" t="str">
        <f>"Fabricação de cal e gesso"</f>
        <v>Fabricação de cal e gesso</v>
      </c>
    </row>
    <row r="518" spans="1:3" ht="15">
      <c r="A518">
        <v>5</v>
      </c>
      <c r="B518" t="str">
        <f>"23521"</f>
        <v>23521</v>
      </c>
      <c r="C518" t="str">
        <f>"Fabricação de cal"</f>
        <v>Fabricação de cal</v>
      </c>
    </row>
    <row r="519" spans="1:3" ht="15">
      <c r="A519">
        <v>5</v>
      </c>
      <c r="B519" t="str">
        <f>"23522"</f>
        <v>23522</v>
      </c>
      <c r="C519" t="str">
        <f>"Fabricação de gesso"</f>
        <v>Fabricação de gesso</v>
      </c>
    </row>
    <row r="520" spans="1:3" ht="15">
      <c r="A520">
        <v>3</v>
      </c>
      <c r="B520" t="str">
        <f>"236"</f>
        <v>236</v>
      </c>
      <c r="C520" t="str">
        <f>"Fabricação de produtos de betão, gesso e  cimento"</f>
        <v>Fabricação de produtos de betão, gesso e  cimento</v>
      </c>
    </row>
    <row r="521" spans="1:3" ht="15">
      <c r="A521">
        <v>4</v>
      </c>
      <c r="B521" t="str">
        <f>"2361"</f>
        <v>2361</v>
      </c>
      <c r="C521" t="str">
        <f>"Fabricação de produtos de betão para a construção"</f>
        <v>Fabricação de produtos de betão para a construção</v>
      </c>
    </row>
    <row r="522" spans="1:3" ht="15">
      <c r="A522">
        <v>5</v>
      </c>
      <c r="B522" t="str">
        <f>"23610"</f>
        <v>23610</v>
      </c>
      <c r="C522" t="str">
        <f>"Fabricação de produtos de betão para a construção"</f>
        <v>Fabricação de produtos de betão para a construção</v>
      </c>
    </row>
    <row r="523" spans="1:3" ht="15">
      <c r="A523">
        <v>4</v>
      </c>
      <c r="B523" t="str">
        <f>"2362"</f>
        <v>2362</v>
      </c>
      <c r="C523" t="str">
        <f>"Fabricação de produtos de gesso para a construção"</f>
        <v>Fabricação de produtos de gesso para a construção</v>
      </c>
    </row>
    <row r="524" spans="1:3" ht="15">
      <c r="A524">
        <v>5</v>
      </c>
      <c r="B524" t="str">
        <f>"23620"</f>
        <v>23620</v>
      </c>
      <c r="C524" t="str">
        <f>"Fabricação de produtos de gesso para a construção"</f>
        <v>Fabricação de produtos de gesso para a construção</v>
      </c>
    </row>
    <row r="525" spans="1:3" ht="15">
      <c r="A525">
        <v>4</v>
      </c>
      <c r="B525" t="str">
        <f>"2363"</f>
        <v>2363</v>
      </c>
      <c r="C525" t="str">
        <f>"Fabricação de betão pronto"</f>
        <v>Fabricação de betão pronto</v>
      </c>
    </row>
    <row r="526" spans="1:3" ht="15">
      <c r="A526">
        <v>5</v>
      </c>
      <c r="B526" t="str">
        <f>"23630"</f>
        <v>23630</v>
      </c>
      <c r="C526" t="str">
        <f>"Fabricação de betão pronto"</f>
        <v>Fabricação de betão pronto</v>
      </c>
    </row>
    <row r="527" spans="1:3" ht="15">
      <c r="A527">
        <v>4</v>
      </c>
      <c r="B527" t="str">
        <f>"2364"</f>
        <v>2364</v>
      </c>
      <c r="C527" t="str">
        <f>"Fabricação de argamassas"</f>
        <v>Fabricação de argamassas</v>
      </c>
    </row>
    <row r="528" spans="1:3" ht="15">
      <c r="A528">
        <v>5</v>
      </c>
      <c r="B528" t="str">
        <f>"23640"</f>
        <v>23640</v>
      </c>
      <c r="C528" t="str">
        <f>"Fabricação de argamassas"</f>
        <v>Fabricação de argamassas</v>
      </c>
    </row>
    <row r="529" spans="1:3" ht="15">
      <c r="A529">
        <v>4</v>
      </c>
      <c r="B529" t="str">
        <f>"2365"</f>
        <v>2365</v>
      </c>
      <c r="C529" t="str">
        <f>"Fabricação de produtos de fibrocimento"</f>
        <v>Fabricação de produtos de fibrocimento</v>
      </c>
    </row>
    <row r="530" spans="1:3" ht="15">
      <c r="A530">
        <v>5</v>
      </c>
      <c r="B530" t="str">
        <f>"23650"</f>
        <v>23650</v>
      </c>
      <c r="C530" t="str">
        <f>"Fabricação de produtos de fibrocimento"</f>
        <v>Fabricação de produtos de fibrocimento</v>
      </c>
    </row>
    <row r="531" spans="1:3" ht="15">
      <c r="A531">
        <v>4</v>
      </c>
      <c r="B531" t="str">
        <f>"2369"</f>
        <v>2369</v>
      </c>
      <c r="C531" t="str">
        <f>"Fabricação de outros produtos de betão, gesso e cimento"</f>
        <v>Fabricação de outros produtos de betão, gesso e cimento</v>
      </c>
    </row>
    <row r="532" spans="1:3" ht="15">
      <c r="A532">
        <v>5</v>
      </c>
      <c r="B532" t="str">
        <f>"23690"</f>
        <v>23690</v>
      </c>
      <c r="C532" t="str">
        <f>"Fabricação de outros produtos de betão, gesso e cimento"</f>
        <v>Fabricação de outros produtos de betão, gesso e cimento</v>
      </c>
    </row>
    <row r="533" spans="1:3" ht="15">
      <c r="A533">
        <v>3</v>
      </c>
      <c r="B533" t="str">
        <f>"237"</f>
        <v>237</v>
      </c>
      <c r="C533" t="str">
        <f>"Serragem, corte e acabamento de rochas ornamentais e de outras pedras de construção"</f>
        <v>Serragem, corte e acabamento de rochas ornamentais e de outras pedras de construção</v>
      </c>
    </row>
    <row r="534" spans="1:3" ht="15">
      <c r="A534">
        <v>4</v>
      </c>
      <c r="B534" t="str">
        <f>"2370"</f>
        <v>2370</v>
      </c>
      <c r="C534" t="str">
        <f>"Serragem, corte e acabamento de rochas ornamentais e de outras pedras de construção"</f>
        <v>Serragem, corte e acabamento de rochas ornamentais e de outras pedras de construção</v>
      </c>
    </row>
    <row r="535" spans="1:3" ht="15">
      <c r="A535">
        <v>5</v>
      </c>
      <c r="B535" t="str">
        <f>"23701"</f>
        <v>23701</v>
      </c>
      <c r="C535" t="str">
        <f>"Fabricação de artigos de mármore e de rochas similares "</f>
        <v>Fabricação de artigos de mármore e de rochas similares </v>
      </c>
    </row>
    <row r="536" spans="1:3" ht="15">
      <c r="A536">
        <v>5</v>
      </c>
      <c r="B536" t="str">
        <f>"23702"</f>
        <v>23702</v>
      </c>
      <c r="C536" t="str">
        <f>"Fabricação de artigos em ardósia (lousa)"</f>
        <v>Fabricação de artigos em ardósia (lousa)</v>
      </c>
    </row>
    <row r="537" spans="1:3" ht="15">
      <c r="A537">
        <v>5</v>
      </c>
      <c r="B537" t="str">
        <f>"23703"</f>
        <v>23703</v>
      </c>
      <c r="C537" t="str">
        <f>"Fabricação de artigos de granito e de rochas, n.e."</f>
        <v>Fabricação de artigos de granito e de rochas, n.e.</v>
      </c>
    </row>
    <row r="538" spans="1:3" ht="15">
      <c r="A538">
        <v>3</v>
      </c>
      <c r="B538" t="str">
        <f>"239"</f>
        <v>239</v>
      </c>
      <c r="C538" t="str">
        <f>"Fabricação de produtos abrasivos e de outros produtos minerais não metálicos"</f>
        <v>Fabricação de produtos abrasivos e de outros produtos minerais não metálicos</v>
      </c>
    </row>
    <row r="539" spans="1:3" ht="15">
      <c r="A539">
        <v>4</v>
      </c>
      <c r="B539" t="str">
        <f>"2391"</f>
        <v>2391</v>
      </c>
      <c r="C539" t="str">
        <f>"Fabricação de produtos abrasivos"</f>
        <v>Fabricação de produtos abrasivos</v>
      </c>
    </row>
    <row r="540" spans="1:3" ht="15">
      <c r="A540">
        <v>5</v>
      </c>
      <c r="B540" t="str">
        <f>"23910"</f>
        <v>23910</v>
      </c>
      <c r="C540" t="str">
        <f>"Fabricação de produtos abrasivos"</f>
        <v>Fabricação de produtos abrasivos</v>
      </c>
    </row>
    <row r="541" spans="1:3" ht="15">
      <c r="A541">
        <v>4</v>
      </c>
      <c r="B541" t="str">
        <f>"2399"</f>
        <v>2399</v>
      </c>
      <c r="C541" t="str">
        <f>"Fabricação de outros produtos minerais não metálicos, n.e."</f>
        <v>Fabricação de outros produtos minerais não metálicos, n.e.</v>
      </c>
    </row>
    <row r="542" spans="1:3" ht="15">
      <c r="A542">
        <v>5</v>
      </c>
      <c r="B542" t="str">
        <f>"23991"</f>
        <v>23991</v>
      </c>
      <c r="C542" t="str">
        <f>"Fabricação de misturas betuminosas"</f>
        <v>Fabricação de misturas betuminosas</v>
      </c>
    </row>
    <row r="543" spans="1:3" ht="15">
      <c r="A543">
        <v>5</v>
      </c>
      <c r="B543" t="str">
        <f>"23992"</f>
        <v>23992</v>
      </c>
      <c r="C543" t="str">
        <f>"Fabricação de outros produtos minerais não metálicos diversos, n.e."</f>
        <v>Fabricação de outros produtos minerais não metálicos diversos, n.e.</v>
      </c>
    </row>
    <row r="544" spans="1:3" ht="15">
      <c r="A544">
        <v>2</v>
      </c>
      <c r="B544" t="str">
        <f>"24"</f>
        <v>24</v>
      </c>
      <c r="C544" t="str">
        <f>"Indústrias metalúrgicas de base"</f>
        <v>Indústrias metalúrgicas de base</v>
      </c>
    </row>
    <row r="545" spans="1:3" ht="15">
      <c r="A545">
        <v>3</v>
      </c>
      <c r="B545" t="str">
        <f>"241"</f>
        <v>241</v>
      </c>
      <c r="C545" t="str">
        <f>"Siderurgia e fabricação de ferro-ligas"</f>
        <v>Siderurgia e fabricação de ferro-ligas</v>
      </c>
    </row>
    <row r="546" spans="1:3" ht="15">
      <c r="A546">
        <v>4</v>
      </c>
      <c r="B546" t="str">
        <f>"2410"</f>
        <v>2410</v>
      </c>
      <c r="C546" t="str">
        <f>"Siderurgia e fabricação de ferro-ligas"</f>
        <v>Siderurgia e fabricação de ferro-ligas</v>
      </c>
    </row>
    <row r="547" spans="1:3" ht="15">
      <c r="A547">
        <v>5</v>
      </c>
      <c r="B547" t="str">
        <f>"24100"</f>
        <v>24100</v>
      </c>
      <c r="C547" t="str">
        <f>"Siderurgia e fabricação de ferro-ligas"</f>
        <v>Siderurgia e fabricação de ferro-ligas</v>
      </c>
    </row>
    <row r="548" spans="1:3" ht="15">
      <c r="A548">
        <v>3</v>
      </c>
      <c r="B548" t="str">
        <f>"242"</f>
        <v>242</v>
      </c>
      <c r="C548" t="str">
        <f>"Fabricação de tubos, condutas, perfis ocos e respectivos acessórios,  de aço"</f>
        <v>Fabricação de tubos, condutas, perfis ocos e respectivos acessórios,  de aço</v>
      </c>
    </row>
    <row r="549" spans="1:3" ht="15">
      <c r="A549">
        <v>4</v>
      </c>
      <c r="B549" t="str">
        <f>"2420"</f>
        <v>2420</v>
      </c>
      <c r="C549" t="str">
        <f>"Fabricação de tubos, condutas, perfis ocos e respectivos acessórios,  de aço"</f>
        <v>Fabricação de tubos, condutas, perfis ocos e respectivos acessórios,  de aço</v>
      </c>
    </row>
    <row r="550" spans="1:3" ht="15">
      <c r="A550">
        <v>5</v>
      </c>
      <c r="B550" t="str">
        <f>"24200"</f>
        <v>24200</v>
      </c>
      <c r="C550" t="str">
        <f>"Fabricação de tubos, condutas, perfis ocos e respectivos acessórios,  de aço"</f>
        <v>Fabricação de tubos, condutas, perfis ocos e respectivos acessórios,  de aço</v>
      </c>
    </row>
    <row r="551" spans="1:3" ht="15">
      <c r="A551">
        <v>3</v>
      </c>
      <c r="B551" t="str">
        <f>"243"</f>
        <v>243</v>
      </c>
      <c r="C551" t="str">
        <f>"Outras actividades da primeira transformação do aço"</f>
        <v>Outras actividades da primeira transformação do aço</v>
      </c>
    </row>
    <row r="552" spans="1:3" ht="15">
      <c r="A552">
        <v>4</v>
      </c>
      <c r="B552" t="str">
        <f>"2431"</f>
        <v>2431</v>
      </c>
      <c r="C552" t="str">
        <f>"Estiragem a frio"</f>
        <v>Estiragem a frio</v>
      </c>
    </row>
    <row r="553" spans="1:3" ht="15">
      <c r="A553">
        <v>5</v>
      </c>
      <c r="B553" t="str">
        <f>"24310"</f>
        <v>24310</v>
      </c>
      <c r="C553" t="str">
        <f>"Estiragem a frio"</f>
        <v>Estiragem a frio</v>
      </c>
    </row>
    <row r="554" spans="1:3" ht="15">
      <c r="A554">
        <v>4</v>
      </c>
      <c r="B554" t="str">
        <f>"2432"</f>
        <v>2432</v>
      </c>
      <c r="C554" t="str">
        <f>"Laminagem a frio de arco ou banda"</f>
        <v>Laminagem a frio de arco ou banda</v>
      </c>
    </row>
    <row r="555" spans="1:3" ht="15">
      <c r="A555">
        <v>5</v>
      </c>
      <c r="B555" t="str">
        <f>"24320"</f>
        <v>24320</v>
      </c>
      <c r="C555" t="str">
        <f>"Laminagem a frio de arco ou banda"</f>
        <v>Laminagem a frio de arco ou banda</v>
      </c>
    </row>
    <row r="556" spans="1:3" ht="15">
      <c r="A556">
        <v>4</v>
      </c>
      <c r="B556" t="str">
        <f>"2433"</f>
        <v>2433</v>
      </c>
      <c r="C556" t="str">
        <f>"Perfilagem a frio"</f>
        <v>Perfilagem a frio</v>
      </c>
    </row>
    <row r="557" spans="1:3" ht="15">
      <c r="A557">
        <v>5</v>
      </c>
      <c r="B557" t="str">
        <f>"24330"</f>
        <v>24330</v>
      </c>
      <c r="C557" t="str">
        <f>"Perfilagem a frio"</f>
        <v>Perfilagem a frio</v>
      </c>
    </row>
    <row r="558" spans="1:3" ht="15">
      <c r="A558">
        <v>4</v>
      </c>
      <c r="B558" t="str">
        <f>"2434"</f>
        <v>2434</v>
      </c>
      <c r="C558" t="str">
        <f>"Trefilagem a frio"</f>
        <v>Trefilagem a frio</v>
      </c>
    </row>
    <row r="559" spans="1:3" ht="15">
      <c r="A559">
        <v>5</v>
      </c>
      <c r="B559" t="str">
        <f>"24340"</f>
        <v>24340</v>
      </c>
      <c r="C559" t="str">
        <f>"Trefilagem a frio"</f>
        <v>Trefilagem a frio</v>
      </c>
    </row>
    <row r="560" spans="1:3" ht="15">
      <c r="A560">
        <v>3</v>
      </c>
      <c r="B560" t="str">
        <f>"244"</f>
        <v>244</v>
      </c>
      <c r="C560" t="str">
        <f>"Obtenção e primeira transformação de metais preciosos e de outros metais não ferrosos"</f>
        <v>Obtenção e primeira transformação de metais preciosos e de outros metais não ferrosos</v>
      </c>
    </row>
    <row r="561" spans="1:3" ht="15">
      <c r="A561">
        <v>4</v>
      </c>
      <c r="B561" t="str">
        <f>"2441"</f>
        <v>2441</v>
      </c>
      <c r="C561" t="str">
        <f>"Obtenção e primeira transformação de metais preciosos"</f>
        <v>Obtenção e primeira transformação de metais preciosos</v>
      </c>
    </row>
    <row r="562" spans="1:3" ht="15">
      <c r="A562">
        <v>5</v>
      </c>
      <c r="B562" t="str">
        <f>"24410"</f>
        <v>24410</v>
      </c>
      <c r="C562" t="str">
        <f>"Obtenção e primeira transformação de metais preciosos"</f>
        <v>Obtenção e primeira transformação de metais preciosos</v>
      </c>
    </row>
    <row r="563" spans="1:3" ht="15">
      <c r="A563">
        <v>4</v>
      </c>
      <c r="B563" t="str">
        <f>"2442"</f>
        <v>2442</v>
      </c>
      <c r="C563" t="str">
        <f>"Obtenção e primeira transformação de alumínio"</f>
        <v>Obtenção e primeira transformação de alumínio</v>
      </c>
    </row>
    <row r="564" spans="1:3" ht="15">
      <c r="A564">
        <v>5</v>
      </c>
      <c r="B564" t="str">
        <f>"24420"</f>
        <v>24420</v>
      </c>
      <c r="C564" t="str">
        <f>"Obtenção e primeira transformação de alumínio"</f>
        <v>Obtenção e primeira transformação de alumínio</v>
      </c>
    </row>
    <row r="565" spans="1:3" ht="15">
      <c r="A565">
        <v>4</v>
      </c>
      <c r="B565" t="str">
        <f>"2443"</f>
        <v>2443</v>
      </c>
      <c r="C565" t="str">
        <f>"Obtenção e primeira transformação de chumbo, zinco e estanho"</f>
        <v>Obtenção e primeira transformação de chumbo, zinco e estanho</v>
      </c>
    </row>
    <row r="566" spans="1:3" ht="15">
      <c r="A566">
        <v>5</v>
      </c>
      <c r="B566" t="str">
        <f>"24430"</f>
        <v>24430</v>
      </c>
      <c r="C566" t="str">
        <f>"Obtenção e primeira transformação de chumbo, zinco e estanho"</f>
        <v>Obtenção e primeira transformação de chumbo, zinco e estanho</v>
      </c>
    </row>
    <row r="567" spans="1:3" ht="15">
      <c r="A567">
        <v>4</v>
      </c>
      <c r="B567" t="str">
        <f>"2444"</f>
        <v>2444</v>
      </c>
      <c r="C567" t="str">
        <f>"Obtenção e primeira transformação de cobre"</f>
        <v>Obtenção e primeira transformação de cobre</v>
      </c>
    </row>
    <row r="568" spans="1:3" ht="15">
      <c r="A568">
        <v>5</v>
      </c>
      <c r="B568" t="str">
        <f>"24440"</f>
        <v>24440</v>
      </c>
      <c r="C568" t="str">
        <f>"Obtenção e primeira transformação de cobre"</f>
        <v>Obtenção e primeira transformação de cobre</v>
      </c>
    </row>
    <row r="569" spans="1:3" ht="15">
      <c r="A569">
        <v>4</v>
      </c>
      <c r="B569" t="str">
        <f>"2445"</f>
        <v>2445</v>
      </c>
      <c r="C569" t="str">
        <f>"Obtenção e primeira transformação de outros metais não ferrosos"</f>
        <v>Obtenção e primeira transformação de outros metais não ferrosos</v>
      </c>
    </row>
    <row r="570" spans="1:3" ht="15">
      <c r="A570">
        <v>5</v>
      </c>
      <c r="B570" t="str">
        <f>"24450"</f>
        <v>24450</v>
      </c>
      <c r="C570" t="str">
        <f>"Obtenção e primeira transformação de outros metais não ferrosos"</f>
        <v>Obtenção e primeira transformação de outros metais não ferrosos</v>
      </c>
    </row>
    <row r="571" spans="1:3" ht="15">
      <c r="A571">
        <v>4</v>
      </c>
      <c r="B571" t="str">
        <f>"2446"</f>
        <v>2446</v>
      </c>
      <c r="C571" t="str">
        <f>"Tratamento de combustível nuclear "</f>
        <v>Tratamento de combustível nuclear </v>
      </c>
    </row>
    <row r="572" spans="1:3" ht="15">
      <c r="A572">
        <v>5</v>
      </c>
      <c r="B572" t="str">
        <f>"24460"</f>
        <v>24460</v>
      </c>
      <c r="C572" t="str">
        <f>"Tratamento de combustível nuclear "</f>
        <v>Tratamento de combustível nuclear </v>
      </c>
    </row>
    <row r="573" spans="1:3" ht="15">
      <c r="A573">
        <v>3</v>
      </c>
      <c r="B573" t="str">
        <f>"245"</f>
        <v>245</v>
      </c>
      <c r="C573" t="str">
        <f>"Fundição de metais ferrosos e não ferrosos"</f>
        <v>Fundição de metais ferrosos e não ferrosos</v>
      </c>
    </row>
    <row r="574" spans="1:3" ht="15">
      <c r="A574">
        <v>4</v>
      </c>
      <c r="B574" t="str">
        <f>"2451"</f>
        <v>2451</v>
      </c>
      <c r="C574" t="str">
        <f>"Fundição de ferro fundido"</f>
        <v>Fundição de ferro fundido</v>
      </c>
    </row>
    <row r="575" spans="1:3" ht="15">
      <c r="A575">
        <v>5</v>
      </c>
      <c r="B575" t="str">
        <f>"24510"</f>
        <v>24510</v>
      </c>
      <c r="C575" t="str">
        <f>"Fundição de ferro fundido"</f>
        <v>Fundição de ferro fundido</v>
      </c>
    </row>
    <row r="576" spans="1:3" ht="15">
      <c r="A576">
        <v>4</v>
      </c>
      <c r="B576" t="str">
        <f>"2452"</f>
        <v>2452</v>
      </c>
      <c r="C576" t="str">
        <f>"Fundição de aço"</f>
        <v>Fundição de aço</v>
      </c>
    </row>
    <row r="577" spans="1:3" ht="15">
      <c r="A577">
        <v>5</v>
      </c>
      <c r="B577" t="str">
        <f>"24520"</f>
        <v>24520</v>
      </c>
      <c r="C577" t="str">
        <f>"Fundição de aço"</f>
        <v>Fundição de aço</v>
      </c>
    </row>
    <row r="578" spans="1:3" ht="15">
      <c r="A578">
        <v>4</v>
      </c>
      <c r="B578" t="str">
        <f>"2453"</f>
        <v>2453</v>
      </c>
      <c r="C578" t="str">
        <f>"Fundição de metais leves"</f>
        <v>Fundição de metais leves</v>
      </c>
    </row>
    <row r="579" spans="1:3" ht="15">
      <c r="A579">
        <v>5</v>
      </c>
      <c r="B579" t="str">
        <f>"24530"</f>
        <v>24530</v>
      </c>
      <c r="C579" t="str">
        <f>"Fundição de metais leves"</f>
        <v>Fundição de metais leves</v>
      </c>
    </row>
    <row r="580" spans="1:3" ht="15">
      <c r="A580">
        <v>4</v>
      </c>
      <c r="B580" t="str">
        <f>"2454"</f>
        <v>2454</v>
      </c>
      <c r="C580" t="str">
        <f>"Fundição de outros metais não ferrosos"</f>
        <v>Fundição de outros metais não ferrosos</v>
      </c>
    </row>
    <row r="581" spans="1:3" ht="15">
      <c r="A581">
        <v>5</v>
      </c>
      <c r="B581" t="str">
        <f>"24540"</f>
        <v>24540</v>
      </c>
      <c r="C581" t="str">
        <f>"Fundição de outros metais não ferrosos"</f>
        <v>Fundição de outros metais não ferrosos</v>
      </c>
    </row>
    <row r="582" spans="1:3" ht="15">
      <c r="A582">
        <v>2</v>
      </c>
      <c r="B582" t="str">
        <f>"25"</f>
        <v>25</v>
      </c>
      <c r="C582" t="str">
        <f>"Fabricação de produtos metálicos, excepto máquinas e equipamentos"</f>
        <v>Fabricação de produtos metálicos, excepto máquinas e equipamentos</v>
      </c>
    </row>
    <row r="583" spans="1:3" ht="15">
      <c r="A583">
        <v>3</v>
      </c>
      <c r="B583" t="str">
        <f>"251"</f>
        <v>251</v>
      </c>
      <c r="C583" t="str">
        <f>"Fabricação de elementos de construção em metal"</f>
        <v>Fabricação de elementos de construção em metal</v>
      </c>
    </row>
    <row r="584" spans="1:3" ht="15">
      <c r="A584">
        <v>4</v>
      </c>
      <c r="B584" t="str">
        <f>"2511"</f>
        <v>2511</v>
      </c>
      <c r="C584" t="str">
        <f>"Fabricação de estruturas de construções metálicas"</f>
        <v>Fabricação de estruturas de construções metálicas</v>
      </c>
    </row>
    <row r="585" spans="1:3" ht="15">
      <c r="A585">
        <v>5</v>
      </c>
      <c r="B585" t="str">
        <f>"25110"</f>
        <v>25110</v>
      </c>
      <c r="C585" t="str">
        <f>"Fabricação de estruturas de construções metálicas"</f>
        <v>Fabricação de estruturas de construções metálicas</v>
      </c>
    </row>
    <row r="586" spans="1:3" ht="15">
      <c r="A586">
        <v>4</v>
      </c>
      <c r="B586" t="str">
        <f>"2512"</f>
        <v>2512</v>
      </c>
      <c r="C586" t="str">
        <f>"Fabricação de portas, janelas e elementos similares em metal"</f>
        <v>Fabricação de portas, janelas e elementos similares em metal</v>
      </c>
    </row>
    <row r="587" spans="1:3" ht="15">
      <c r="A587">
        <v>5</v>
      </c>
      <c r="B587" t="str">
        <f>"25120"</f>
        <v>25120</v>
      </c>
      <c r="C587" t="str">
        <f>"Fabricação de portas, janelas e elementos similares em metal"</f>
        <v>Fabricação de portas, janelas e elementos similares em metal</v>
      </c>
    </row>
    <row r="588" spans="1:3" ht="15">
      <c r="A588">
        <v>3</v>
      </c>
      <c r="B588" t="str">
        <f>"252"</f>
        <v>252</v>
      </c>
      <c r="C588" t="str">
        <f>"Fabricação de reservatórios, recipientes, caldeiras e radiadores metálicos para aquecimento central"</f>
        <v>Fabricação de reservatórios, recipientes, caldeiras e radiadores metálicos para aquecimento central</v>
      </c>
    </row>
    <row r="589" spans="1:3" ht="15">
      <c r="A589">
        <v>4</v>
      </c>
      <c r="B589" t="str">
        <f>"2521"</f>
        <v>2521</v>
      </c>
      <c r="C589" t="str">
        <f>"Fabricação de caldeiras e radiadores para aquecimento central"</f>
        <v>Fabricação de caldeiras e radiadores para aquecimento central</v>
      </c>
    </row>
    <row r="590" spans="1:3" ht="15">
      <c r="A590">
        <v>5</v>
      </c>
      <c r="B590" t="str">
        <f>"25210"</f>
        <v>25210</v>
      </c>
      <c r="C590" t="str">
        <f>"Fabricação de caldeiras e radiadores para aquecimento central"</f>
        <v>Fabricação de caldeiras e radiadores para aquecimento central</v>
      </c>
    </row>
    <row r="591" spans="1:3" ht="15">
      <c r="A591">
        <v>4</v>
      </c>
      <c r="B591" t="str">
        <f>"2529"</f>
        <v>2529</v>
      </c>
      <c r="C591" t="str">
        <f>"Fabricação de outros reservatórios e recipientes metálicos"</f>
        <v>Fabricação de outros reservatórios e recipientes metálicos</v>
      </c>
    </row>
    <row r="592" spans="1:3" ht="15">
      <c r="A592">
        <v>5</v>
      </c>
      <c r="B592" t="str">
        <f>"25290"</f>
        <v>25290</v>
      </c>
      <c r="C592" t="str">
        <f>"Fabricação de outros reservatórios e recipientes metálicos"</f>
        <v>Fabricação de outros reservatórios e recipientes metálicos</v>
      </c>
    </row>
    <row r="593" spans="1:3" ht="15">
      <c r="A593">
        <v>3</v>
      </c>
      <c r="B593" t="str">
        <f>"253"</f>
        <v>253</v>
      </c>
      <c r="C593" t="str">
        <f>"Fabricação de geradores de vapor (excepto caldeiras para aquecimento central)"</f>
        <v>Fabricação de geradores de vapor (excepto caldeiras para aquecimento central)</v>
      </c>
    </row>
    <row r="594" spans="1:3" ht="15">
      <c r="A594">
        <v>4</v>
      </c>
      <c r="B594" t="str">
        <f>"2530"</f>
        <v>2530</v>
      </c>
      <c r="C594" t="str">
        <f>"Fabricação de geradores de vapor (excepto caldeiras para aquecimento central)"</f>
        <v>Fabricação de geradores de vapor (excepto caldeiras para aquecimento central)</v>
      </c>
    </row>
    <row r="595" spans="1:3" ht="15">
      <c r="A595">
        <v>5</v>
      </c>
      <c r="B595" t="str">
        <f>"25300"</f>
        <v>25300</v>
      </c>
      <c r="C595" t="str">
        <f>"Fabricação de geradores de vapor (excepto caldeiras para aquecimento central)"</f>
        <v>Fabricação de geradores de vapor (excepto caldeiras para aquecimento central)</v>
      </c>
    </row>
    <row r="596" spans="1:3" ht="15">
      <c r="A596">
        <v>3</v>
      </c>
      <c r="B596" t="str">
        <f>"254"</f>
        <v>254</v>
      </c>
      <c r="C596" t="str">
        <f>"Fabricação de armas e munições"</f>
        <v>Fabricação de armas e munições</v>
      </c>
    </row>
    <row r="597" spans="1:3" ht="15">
      <c r="A597">
        <v>4</v>
      </c>
      <c r="B597" t="str">
        <f>"2540"</f>
        <v>2540</v>
      </c>
      <c r="C597" t="str">
        <f>"Fabricação de armas e munições"</f>
        <v>Fabricação de armas e munições</v>
      </c>
    </row>
    <row r="598" spans="1:3" ht="15">
      <c r="A598">
        <v>5</v>
      </c>
      <c r="B598" t="str">
        <f>"25401"</f>
        <v>25401</v>
      </c>
      <c r="C598" t="str">
        <f>"Fabricação de armas de caça, de desporto e defesa"</f>
        <v>Fabricação de armas de caça, de desporto e defesa</v>
      </c>
    </row>
    <row r="599" spans="1:3" ht="15">
      <c r="A599">
        <v>5</v>
      </c>
      <c r="B599" t="str">
        <f>"25402"</f>
        <v>25402</v>
      </c>
      <c r="C599" t="str">
        <f>"Fabricação de armamento"</f>
        <v>Fabricação de armamento</v>
      </c>
    </row>
    <row r="600" spans="1:3" ht="15">
      <c r="A600">
        <v>3</v>
      </c>
      <c r="B600" t="str">
        <f>"255"</f>
        <v>255</v>
      </c>
      <c r="C600" t="str">
        <f>"Fabricação de produtos forjados, estampados e laminados; metalurgia dos pós"</f>
        <v>Fabricação de produtos forjados, estampados e laminados; metalurgia dos pós</v>
      </c>
    </row>
    <row r="601" spans="1:3" ht="15">
      <c r="A601">
        <v>4</v>
      </c>
      <c r="B601" t="str">
        <f>"2550"</f>
        <v>2550</v>
      </c>
      <c r="C601" t="str">
        <f>"Fabricação de produtos forjados, estampados e laminados; metalurgia dos pós"</f>
        <v>Fabricação de produtos forjados, estampados e laminados; metalurgia dos pós</v>
      </c>
    </row>
    <row r="602" spans="1:3" ht="15">
      <c r="A602">
        <v>5</v>
      </c>
      <c r="B602" t="str">
        <f>"25501"</f>
        <v>25501</v>
      </c>
      <c r="C602" t="str">
        <f>"Fabricação de produtos forjados, estampados e laminados"</f>
        <v>Fabricação de produtos forjados, estampados e laminados</v>
      </c>
    </row>
    <row r="603" spans="1:3" ht="15">
      <c r="A603">
        <v>5</v>
      </c>
      <c r="B603" t="str">
        <f>"25502"</f>
        <v>25502</v>
      </c>
      <c r="C603" t="str">
        <f>"Fabricação de produtos por pulverometalurgia"</f>
        <v>Fabricação de produtos por pulverometalurgia</v>
      </c>
    </row>
    <row r="604" spans="1:3" ht="15">
      <c r="A604">
        <v>3</v>
      </c>
      <c r="B604" t="str">
        <f>"256"</f>
        <v>256</v>
      </c>
      <c r="C604" t="str">
        <f>"Tratamento e revestimento de metais; actividades de mecânica geral"</f>
        <v>Tratamento e revestimento de metais; actividades de mecânica geral</v>
      </c>
    </row>
    <row r="605" spans="1:3" ht="15">
      <c r="A605">
        <v>4</v>
      </c>
      <c r="B605" t="str">
        <f>"2561"</f>
        <v>2561</v>
      </c>
      <c r="C605" t="str">
        <f>"Tratamento e revestimento de metais"</f>
        <v>Tratamento e revestimento de metais</v>
      </c>
    </row>
    <row r="606" spans="1:3" ht="15">
      <c r="A606">
        <v>5</v>
      </c>
      <c r="B606" t="str">
        <f>"25610"</f>
        <v>25610</v>
      </c>
      <c r="C606" t="str">
        <f>"Tratamento e revestimento de metais"</f>
        <v>Tratamento e revestimento de metais</v>
      </c>
    </row>
    <row r="607" spans="1:3" ht="15">
      <c r="A607">
        <v>4</v>
      </c>
      <c r="B607" t="str">
        <f>"2562"</f>
        <v>2562</v>
      </c>
      <c r="C607" t="str">
        <f>"Actividades de mecânica geral"</f>
        <v>Actividades de mecânica geral</v>
      </c>
    </row>
    <row r="608" spans="1:3" ht="15">
      <c r="A608">
        <v>5</v>
      </c>
      <c r="B608" t="str">
        <f>"25620"</f>
        <v>25620</v>
      </c>
      <c r="C608" t="str">
        <f>"Actividades de mecânica geral"</f>
        <v>Actividades de mecânica geral</v>
      </c>
    </row>
    <row r="609" spans="1:3" ht="15">
      <c r="A609">
        <v>3</v>
      </c>
      <c r="B609" t="str">
        <f>"257"</f>
        <v>257</v>
      </c>
      <c r="C609" t="str">
        <f>"Fabricação de cutelaria, ferramentas e ferragens"</f>
        <v>Fabricação de cutelaria, ferramentas e ferragens</v>
      </c>
    </row>
    <row r="610" spans="1:3" ht="15">
      <c r="A610">
        <v>4</v>
      </c>
      <c r="B610" t="str">
        <f>"2571"</f>
        <v>2571</v>
      </c>
      <c r="C610" t="str">
        <f>"Fabricação de cutelaria"</f>
        <v>Fabricação de cutelaria</v>
      </c>
    </row>
    <row r="611" spans="1:3" ht="15">
      <c r="A611">
        <v>5</v>
      </c>
      <c r="B611" t="str">
        <f>"25710"</f>
        <v>25710</v>
      </c>
      <c r="C611" t="str">
        <f>"Fabricação de cutelaria"</f>
        <v>Fabricação de cutelaria</v>
      </c>
    </row>
    <row r="612" spans="1:3" ht="15">
      <c r="A612">
        <v>4</v>
      </c>
      <c r="B612" t="str">
        <f>"2572"</f>
        <v>2572</v>
      </c>
      <c r="C612" t="str">
        <f>"Fabricação de fechaduras, dobradiças e de outras ferragens"</f>
        <v>Fabricação de fechaduras, dobradiças e de outras ferragens</v>
      </c>
    </row>
    <row r="613" spans="1:3" ht="15">
      <c r="A613">
        <v>5</v>
      </c>
      <c r="B613" t="str">
        <f>"25720"</f>
        <v>25720</v>
      </c>
      <c r="C613" t="str">
        <f>"Fabricação de fechaduras, dobradiças e de outras ferragens"</f>
        <v>Fabricação de fechaduras, dobradiças e de outras ferragens</v>
      </c>
    </row>
    <row r="614" spans="1:3" ht="15">
      <c r="A614">
        <v>4</v>
      </c>
      <c r="B614" t="str">
        <f>"2573"</f>
        <v>2573</v>
      </c>
      <c r="C614" t="str">
        <f>"Fabricação de ferramentas "</f>
        <v>Fabricação de ferramentas </v>
      </c>
    </row>
    <row r="615" spans="1:3" ht="15">
      <c r="A615">
        <v>5</v>
      </c>
      <c r="B615" t="str">
        <f>"25731"</f>
        <v>25731</v>
      </c>
      <c r="C615" t="str">
        <f>"Fabricação de ferramentas manuais"</f>
        <v>Fabricação de ferramentas manuais</v>
      </c>
    </row>
    <row r="616" spans="1:3" ht="15">
      <c r="A616">
        <v>5</v>
      </c>
      <c r="B616" t="str">
        <f>"25732"</f>
        <v>25732</v>
      </c>
      <c r="C616" t="str">
        <f>"Fabricação de ferramentas mecânicas"</f>
        <v>Fabricação de ferramentas mecânicas</v>
      </c>
    </row>
    <row r="617" spans="1:3" ht="15">
      <c r="A617">
        <v>5</v>
      </c>
      <c r="B617" t="str">
        <f>"25733"</f>
        <v>25733</v>
      </c>
      <c r="C617" t="str">
        <f>"Fabricação de peças sinterizadas "</f>
        <v>Fabricação de peças sinterizadas </v>
      </c>
    </row>
    <row r="618" spans="1:3" ht="15">
      <c r="A618">
        <v>5</v>
      </c>
      <c r="B618" t="str">
        <f>"25734"</f>
        <v>25734</v>
      </c>
      <c r="C618" t="str">
        <f>"Fabricação de moldes metálicos"</f>
        <v>Fabricação de moldes metálicos</v>
      </c>
    </row>
    <row r="619" spans="1:3" ht="15">
      <c r="A619">
        <v>3</v>
      </c>
      <c r="B619" t="str">
        <f>"259"</f>
        <v>259</v>
      </c>
      <c r="C619" t="str">
        <f>"Fabricação de outros produtos metálicos"</f>
        <v>Fabricação de outros produtos metálicos</v>
      </c>
    </row>
    <row r="620" spans="1:3" ht="15">
      <c r="A620">
        <v>4</v>
      </c>
      <c r="B620" t="str">
        <f>"2591"</f>
        <v>2591</v>
      </c>
      <c r="C620" t="str">
        <f>"Fabricação de embalagens metálicas pesadas"</f>
        <v>Fabricação de embalagens metálicas pesadas</v>
      </c>
    </row>
    <row r="621" spans="1:3" ht="15">
      <c r="A621">
        <v>5</v>
      </c>
      <c r="B621" t="str">
        <f>"25910"</f>
        <v>25910</v>
      </c>
      <c r="C621" t="str">
        <f>"Fabricação de embalagens metálicas pesadas"</f>
        <v>Fabricação de embalagens metálicas pesadas</v>
      </c>
    </row>
    <row r="622" spans="1:3" ht="15">
      <c r="A622">
        <v>4</v>
      </c>
      <c r="B622" t="str">
        <f>"2592"</f>
        <v>2592</v>
      </c>
      <c r="C622" t="str">
        <f>"Fabricação de embalagens metálicas ligeiras"</f>
        <v>Fabricação de embalagens metálicas ligeiras</v>
      </c>
    </row>
    <row r="623" spans="1:3" ht="15">
      <c r="A623">
        <v>5</v>
      </c>
      <c r="B623" t="str">
        <f>"25920"</f>
        <v>25920</v>
      </c>
      <c r="C623" t="str">
        <f>"Fabricação de embalagens metálicas ligeiras"</f>
        <v>Fabricação de embalagens metálicas ligeiras</v>
      </c>
    </row>
    <row r="624" spans="1:3" ht="15">
      <c r="A624">
        <v>4</v>
      </c>
      <c r="B624" t="str">
        <f>"2593"</f>
        <v>2593</v>
      </c>
      <c r="C624" t="str">
        <f>"Fabricação de produtos de arame, correntes e molas metálicas"</f>
        <v>Fabricação de produtos de arame, correntes e molas metálicas</v>
      </c>
    </row>
    <row r="625" spans="1:3" ht="15">
      <c r="A625">
        <v>5</v>
      </c>
      <c r="B625" t="str">
        <f>"25931"</f>
        <v>25931</v>
      </c>
      <c r="C625" t="str">
        <f>"Fabricação de produtos de arame"</f>
        <v>Fabricação de produtos de arame</v>
      </c>
    </row>
    <row r="626" spans="1:3" ht="15">
      <c r="A626">
        <v>5</v>
      </c>
      <c r="B626" t="str">
        <f>"25932"</f>
        <v>25932</v>
      </c>
      <c r="C626" t="str">
        <f>"Fabricação de molas"</f>
        <v>Fabricação de molas</v>
      </c>
    </row>
    <row r="627" spans="1:3" ht="15">
      <c r="A627">
        <v>5</v>
      </c>
      <c r="B627" t="str">
        <f>"25933"</f>
        <v>25933</v>
      </c>
      <c r="C627" t="str">
        <f>"Fabricação de correntes metálicas"</f>
        <v>Fabricação de correntes metálicas</v>
      </c>
    </row>
    <row r="628" spans="1:3" ht="15">
      <c r="A628">
        <v>4</v>
      </c>
      <c r="B628" t="str">
        <f>"2594"</f>
        <v>2594</v>
      </c>
      <c r="C628" t="str">
        <f>"Fabricação de rebites, parafusos e porcas"</f>
        <v>Fabricação de rebites, parafusos e porcas</v>
      </c>
    </row>
    <row r="629" spans="1:3" ht="15">
      <c r="A629">
        <v>5</v>
      </c>
      <c r="B629" t="str">
        <f>"25940"</f>
        <v>25940</v>
      </c>
      <c r="C629" t="str">
        <f>"Fabricação de rebites, parafusos e porcas"</f>
        <v>Fabricação de rebites, parafusos e porcas</v>
      </c>
    </row>
    <row r="630" spans="1:3" ht="15">
      <c r="A630">
        <v>4</v>
      </c>
      <c r="B630" t="str">
        <f>"2599"</f>
        <v>2599</v>
      </c>
      <c r="C630" t="str">
        <f>"Fabricação de outros produtos metálicos, n.e."</f>
        <v>Fabricação de outros produtos metálicos, n.e.</v>
      </c>
    </row>
    <row r="631" spans="1:3" ht="15">
      <c r="A631">
        <v>5</v>
      </c>
      <c r="B631" t="str">
        <f>"25991"</f>
        <v>25991</v>
      </c>
      <c r="C631" t="str">
        <f>"Fabricação de louça metálica e artigos de uso doméstico"</f>
        <v>Fabricação de louça metálica e artigos de uso doméstico</v>
      </c>
    </row>
    <row r="632" spans="1:3" ht="15">
      <c r="A632">
        <v>5</v>
      </c>
      <c r="B632" t="str">
        <f>"25992"</f>
        <v>25992</v>
      </c>
      <c r="C632" t="str">
        <f>"Fabricação de outros produtos metálicos diversos,  n.e."</f>
        <v>Fabricação de outros produtos metálicos diversos,  n.e.</v>
      </c>
    </row>
    <row r="633" spans="1:3" ht="15">
      <c r="A633">
        <v>2</v>
      </c>
      <c r="B633" t="str">
        <f>"26"</f>
        <v>26</v>
      </c>
      <c r="C633" t="str">
        <f>"Fabricação de equipamentos informáticos, equipamento para comunicações e produtos electrónicos e ópticos"</f>
        <v>Fabricação de equipamentos informáticos, equipamento para comunicações e produtos electrónicos e ópticos</v>
      </c>
    </row>
    <row r="634" spans="1:3" ht="15">
      <c r="A634">
        <v>3</v>
      </c>
      <c r="B634" t="str">
        <f>"261"</f>
        <v>261</v>
      </c>
      <c r="C634" t="str">
        <f>"Fabricação de componentes  e de placas, electrónicos"</f>
        <v>Fabricação de componentes  e de placas, electrónicos</v>
      </c>
    </row>
    <row r="635" spans="1:3" ht="15">
      <c r="A635">
        <v>4</v>
      </c>
      <c r="B635" t="str">
        <f>"2611"</f>
        <v>2611</v>
      </c>
      <c r="C635" t="str">
        <f>"Fabricação de componentes electrónicos"</f>
        <v>Fabricação de componentes electrónicos</v>
      </c>
    </row>
    <row r="636" spans="1:3" ht="15">
      <c r="A636">
        <v>5</v>
      </c>
      <c r="B636" t="str">
        <f>"26110"</f>
        <v>26110</v>
      </c>
      <c r="C636" t="str">
        <f>"Fabricação de componentes electrónicos"</f>
        <v>Fabricação de componentes electrónicos</v>
      </c>
    </row>
    <row r="637" spans="1:3" ht="15">
      <c r="A637">
        <v>4</v>
      </c>
      <c r="B637" t="str">
        <f>"2612"</f>
        <v>2612</v>
      </c>
      <c r="C637" t="str">
        <f>"Fabricação de placas de circuitos electrónicos"</f>
        <v>Fabricação de placas de circuitos electrónicos</v>
      </c>
    </row>
    <row r="638" spans="1:3" ht="15">
      <c r="A638">
        <v>5</v>
      </c>
      <c r="B638" t="str">
        <f>"26120"</f>
        <v>26120</v>
      </c>
      <c r="C638" t="str">
        <f>"Fabricação de placas de circuitos electrónicos"</f>
        <v>Fabricação de placas de circuitos electrónicos</v>
      </c>
    </row>
    <row r="639" spans="1:3" ht="15">
      <c r="A639">
        <v>3</v>
      </c>
      <c r="B639" t="str">
        <f>"262"</f>
        <v>262</v>
      </c>
      <c r="C639" t="str">
        <f>"Fabricação de computadores e de equipamento periférico"</f>
        <v>Fabricação de computadores e de equipamento periférico</v>
      </c>
    </row>
    <row r="640" spans="1:3" ht="15">
      <c r="A640">
        <v>4</v>
      </c>
      <c r="B640" t="str">
        <f>"2620"</f>
        <v>2620</v>
      </c>
      <c r="C640" t="str">
        <f>"Fabricação de computadores e de equipamento periférico"</f>
        <v>Fabricação de computadores e de equipamento periférico</v>
      </c>
    </row>
    <row r="641" spans="1:3" ht="15">
      <c r="A641">
        <v>5</v>
      </c>
      <c r="B641" t="str">
        <f>"26200"</f>
        <v>26200</v>
      </c>
      <c r="C641" t="str">
        <f>"Fabricação de computadores e de equipamento periférico"</f>
        <v>Fabricação de computadores e de equipamento periférico</v>
      </c>
    </row>
    <row r="642" spans="1:3" ht="15">
      <c r="A642">
        <v>3</v>
      </c>
      <c r="B642" t="str">
        <f>"263"</f>
        <v>263</v>
      </c>
      <c r="C642" t="str">
        <f>"Fabricação de aparelhos e equipamentos para comunicações"</f>
        <v>Fabricação de aparelhos e equipamentos para comunicações</v>
      </c>
    </row>
    <row r="643" spans="1:3" ht="15">
      <c r="A643">
        <v>4</v>
      </c>
      <c r="B643" t="str">
        <f>"2630"</f>
        <v>2630</v>
      </c>
      <c r="C643" t="str">
        <f>"Fabricação de aparelhos e equipamentos para comunicações"</f>
        <v>Fabricação de aparelhos e equipamentos para comunicações</v>
      </c>
    </row>
    <row r="644" spans="1:3" ht="15">
      <c r="A644">
        <v>5</v>
      </c>
      <c r="B644" t="str">
        <f>"26300"</f>
        <v>26300</v>
      </c>
      <c r="C644" t="str">
        <f>"Fabricação de aparelhos e equipamentos para comunicações"</f>
        <v>Fabricação de aparelhos e equipamentos para comunicações</v>
      </c>
    </row>
    <row r="645" spans="1:3" ht="15">
      <c r="A645">
        <v>3</v>
      </c>
      <c r="B645" t="str">
        <f>"264"</f>
        <v>264</v>
      </c>
      <c r="C645" t="str">
        <f>"Fabricação de receptores  de rádio e de televisão e bens de consumo similares"</f>
        <v>Fabricação de receptores  de rádio e de televisão e bens de consumo similares</v>
      </c>
    </row>
    <row r="646" spans="1:3" ht="15">
      <c r="A646">
        <v>4</v>
      </c>
      <c r="B646" t="str">
        <f>"2640"</f>
        <v>2640</v>
      </c>
      <c r="C646" t="str">
        <f>"Fabricação de receptores  de rádio e de televisão e bens de consumo similares"</f>
        <v>Fabricação de receptores  de rádio e de televisão e bens de consumo similares</v>
      </c>
    </row>
    <row r="647" spans="1:3" ht="15">
      <c r="A647">
        <v>5</v>
      </c>
      <c r="B647" t="str">
        <f>"26400"</f>
        <v>26400</v>
      </c>
      <c r="C647" t="str">
        <f>"Fabricação de receptores  de rádio e de televisão e bens de consumo similares"</f>
        <v>Fabricação de receptores  de rádio e de televisão e bens de consumo similares</v>
      </c>
    </row>
    <row r="648" spans="1:3" ht="15">
      <c r="A648">
        <v>3</v>
      </c>
      <c r="B648" t="str">
        <f>"265"</f>
        <v>265</v>
      </c>
      <c r="C648" t="str">
        <f>"Fabricação de instrumentos e aparelhos de medida, verificação e navegação; relógios e material de relojoaria"</f>
        <v>Fabricação de instrumentos e aparelhos de medida, verificação e navegação; relógios e material de relojoaria</v>
      </c>
    </row>
    <row r="649" spans="1:3" ht="15">
      <c r="A649">
        <v>4</v>
      </c>
      <c r="B649" t="str">
        <f>"2651"</f>
        <v>2651</v>
      </c>
      <c r="C649" t="str">
        <f>"Fabricação de instrumentos e aparelhos de medida, verificação e navegação"</f>
        <v>Fabricação de instrumentos e aparelhos de medida, verificação e navegação</v>
      </c>
    </row>
    <row r="650" spans="1:3" ht="15">
      <c r="A650">
        <v>5</v>
      </c>
      <c r="B650" t="str">
        <f>"26511"</f>
        <v>26511</v>
      </c>
      <c r="C650" t="str">
        <f>"Fabricação de contadores de electricidade, gás, água e de outros líquidos"</f>
        <v>Fabricação de contadores de electricidade, gás, água e de outros líquidos</v>
      </c>
    </row>
    <row r="651" spans="1:3" ht="15">
      <c r="A651">
        <v>5</v>
      </c>
      <c r="B651" t="str">
        <f>"26512"</f>
        <v>26512</v>
      </c>
      <c r="C651" t="str">
        <f>"Fabricação de instrumentos e aparelhos de medida, verificação, navegação e outros fins, n.e."</f>
        <v>Fabricação de instrumentos e aparelhos de medida, verificação, navegação e outros fins, n.e.</v>
      </c>
    </row>
    <row r="652" spans="1:3" ht="15">
      <c r="A652">
        <v>4</v>
      </c>
      <c r="B652" t="str">
        <f>"2652"</f>
        <v>2652</v>
      </c>
      <c r="C652" t="str">
        <f>"Fabricação de relógios e material de relojoaria"</f>
        <v>Fabricação de relógios e material de relojoaria</v>
      </c>
    </row>
    <row r="653" spans="1:3" ht="15">
      <c r="A653">
        <v>5</v>
      </c>
      <c r="B653" t="str">
        <f>"26520"</f>
        <v>26520</v>
      </c>
      <c r="C653" t="str">
        <f>"Fabricação de relógios e material de relojoaria"</f>
        <v>Fabricação de relógios e material de relojoaria</v>
      </c>
    </row>
    <row r="654" spans="1:3" ht="15">
      <c r="A654">
        <v>3</v>
      </c>
      <c r="B654" t="str">
        <f>"266"</f>
        <v>266</v>
      </c>
      <c r="C654" t="str">
        <f>"Fabricação de equipamentos de radiação, electromedicina e electroterapêutico"</f>
        <v>Fabricação de equipamentos de radiação, electromedicina e electroterapêutico</v>
      </c>
    </row>
    <row r="655" spans="1:3" ht="15">
      <c r="A655">
        <v>4</v>
      </c>
      <c r="B655" t="str">
        <f>"2660"</f>
        <v>2660</v>
      </c>
      <c r="C655" t="str">
        <f>"Fabricação de equipamentos de radiação, electromedicina e electroterapêutico"</f>
        <v>Fabricação de equipamentos de radiação, electromedicina e electroterapêutico</v>
      </c>
    </row>
    <row r="656" spans="1:3" ht="15">
      <c r="A656">
        <v>5</v>
      </c>
      <c r="B656" t="str">
        <f>"26600"</f>
        <v>26600</v>
      </c>
      <c r="C656" t="str">
        <f>"Fabricação de equipamentos de radiação, electromedicina e electroterapêutico"</f>
        <v>Fabricação de equipamentos de radiação, electromedicina e electroterapêutico</v>
      </c>
    </row>
    <row r="657" spans="1:3" ht="15">
      <c r="A657">
        <v>3</v>
      </c>
      <c r="B657" t="str">
        <f>"267"</f>
        <v>267</v>
      </c>
      <c r="C657" t="str">
        <f>"Fabricação de instrumentos e de equipamentos  ópticos e fotográficos"</f>
        <v>Fabricação de instrumentos e de equipamentos  ópticos e fotográficos</v>
      </c>
    </row>
    <row r="658" spans="1:3" ht="15">
      <c r="A658">
        <v>4</v>
      </c>
      <c r="B658" t="str">
        <f>"2670"</f>
        <v>2670</v>
      </c>
      <c r="C658" t="str">
        <f>"Fabricação de instrumentos e de equipamentos  ópticos e fotográficos"</f>
        <v>Fabricação de instrumentos e de equipamentos  ópticos e fotográficos</v>
      </c>
    </row>
    <row r="659" spans="1:3" ht="15">
      <c r="A659">
        <v>5</v>
      </c>
      <c r="B659" t="str">
        <f>"26701"</f>
        <v>26701</v>
      </c>
      <c r="C659" t="str">
        <f>"Fabricação de instrumentos e equipamentos ópticos não oftálmicos"</f>
        <v>Fabricação de instrumentos e equipamentos ópticos não oftálmicos</v>
      </c>
    </row>
    <row r="660" spans="1:3" ht="15">
      <c r="A660">
        <v>5</v>
      </c>
      <c r="B660" t="str">
        <f>"26702"</f>
        <v>26702</v>
      </c>
      <c r="C660" t="str">
        <f>"Fabricação de material fotográfico e cinematográfico"</f>
        <v>Fabricação de material fotográfico e cinematográfico</v>
      </c>
    </row>
    <row r="661" spans="1:3" ht="15">
      <c r="A661">
        <v>3</v>
      </c>
      <c r="B661" t="str">
        <f>"268"</f>
        <v>268</v>
      </c>
      <c r="C661" t="str">
        <f>"Fabricação de suportes de informação magnéticos e ópticos"</f>
        <v>Fabricação de suportes de informação magnéticos e ópticos</v>
      </c>
    </row>
    <row r="662" spans="1:3" ht="15">
      <c r="A662">
        <v>4</v>
      </c>
      <c r="B662" t="str">
        <f>"2680"</f>
        <v>2680</v>
      </c>
      <c r="C662" t="str">
        <f>"Fabricação de suportes de informação magnéticos e ópticos"</f>
        <v>Fabricação de suportes de informação magnéticos e ópticos</v>
      </c>
    </row>
    <row r="663" spans="1:3" ht="15">
      <c r="A663">
        <v>5</v>
      </c>
      <c r="B663" t="str">
        <f>"26800"</f>
        <v>26800</v>
      </c>
      <c r="C663" t="str">
        <f>"Fabricação de suportes de informação magnéticos e ópticos"</f>
        <v>Fabricação de suportes de informação magnéticos e ópticos</v>
      </c>
    </row>
    <row r="664" spans="1:3" ht="15">
      <c r="A664">
        <v>2</v>
      </c>
      <c r="B664" t="str">
        <f>"27"</f>
        <v>27</v>
      </c>
      <c r="C664" t="str">
        <f>"Fabricação de equipamento eléctrico"</f>
        <v>Fabricação de equipamento eléctrico</v>
      </c>
    </row>
    <row r="665" spans="1:3" ht="15">
      <c r="A665">
        <v>3</v>
      </c>
      <c r="B665" t="str">
        <f>"271"</f>
        <v>271</v>
      </c>
      <c r="C665" t="str">
        <f>"Fabricação de motores, geradores e transformadores eléctricos e fabricação de material de distribuição e de controlo para instalações eléctricas"</f>
        <v>Fabricação de motores, geradores e transformadores eléctricos e fabricação de material de distribuição e de controlo para instalações eléctricas</v>
      </c>
    </row>
    <row r="666" spans="1:3" ht="15">
      <c r="A666">
        <v>4</v>
      </c>
      <c r="B666" t="str">
        <f>"2711"</f>
        <v>2711</v>
      </c>
      <c r="C666" t="str">
        <f>"Fabricação de motores, geradores e transformadores eléctricos"</f>
        <v>Fabricação de motores, geradores e transformadores eléctricos</v>
      </c>
    </row>
    <row r="667" spans="1:3" ht="15">
      <c r="A667">
        <v>5</v>
      </c>
      <c r="B667" t="str">
        <f>"27110"</f>
        <v>27110</v>
      </c>
      <c r="C667" t="str">
        <f>"Fabricação de motores, geradores e transformadores eléctricos"</f>
        <v>Fabricação de motores, geradores e transformadores eléctricos</v>
      </c>
    </row>
    <row r="668" spans="1:3" ht="15">
      <c r="A668">
        <v>4</v>
      </c>
      <c r="B668" t="str">
        <f>"2712"</f>
        <v>2712</v>
      </c>
      <c r="C668" t="str">
        <f>"Fabricação de material de distribuição e de controlo para instalações eléctricas"</f>
        <v>Fabricação de material de distribuição e de controlo para instalações eléctricas</v>
      </c>
    </row>
    <row r="669" spans="1:3" ht="15">
      <c r="A669">
        <v>5</v>
      </c>
      <c r="B669" t="str">
        <f>"27121"</f>
        <v>27121</v>
      </c>
      <c r="C669" t="str">
        <f>"Fabricação de material de distribuição e controlo para instalações eléctricas de alta tensão"</f>
        <v>Fabricação de material de distribuição e controlo para instalações eléctricas de alta tensão</v>
      </c>
    </row>
    <row r="670" spans="1:3" ht="15">
      <c r="A670">
        <v>5</v>
      </c>
      <c r="B670" t="str">
        <f>"27122"</f>
        <v>27122</v>
      </c>
      <c r="C670" t="str">
        <f>"Fabricação de material de distribuição e controlo para instalações eléctricas de baixa tensão"</f>
        <v>Fabricação de material de distribuição e controlo para instalações eléctricas de baixa tensão</v>
      </c>
    </row>
    <row r="671" spans="1:3" ht="15">
      <c r="A671">
        <v>3</v>
      </c>
      <c r="B671" t="str">
        <f>"272"</f>
        <v>272</v>
      </c>
      <c r="C671" t="str">
        <f>"Fabricação de acumuladores e pilhas"</f>
        <v>Fabricação de acumuladores e pilhas</v>
      </c>
    </row>
    <row r="672" spans="1:3" ht="15">
      <c r="A672">
        <v>4</v>
      </c>
      <c r="B672" t="str">
        <f>"2720"</f>
        <v>2720</v>
      </c>
      <c r="C672" t="str">
        <f>"Fabricação de acumuladores e pilhas"</f>
        <v>Fabricação de acumuladores e pilhas</v>
      </c>
    </row>
    <row r="673" spans="1:3" ht="15">
      <c r="A673">
        <v>5</v>
      </c>
      <c r="B673" t="str">
        <f>"27200"</f>
        <v>27200</v>
      </c>
      <c r="C673" t="str">
        <f>"Fabricação de acumuladores e pilhas"</f>
        <v>Fabricação de acumuladores e pilhas</v>
      </c>
    </row>
    <row r="674" spans="1:3" ht="15">
      <c r="A674">
        <v>3</v>
      </c>
      <c r="B674" t="str">
        <f>"273"</f>
        <v>273</v>
      </c>
      <c r="C674" t="str">
        <f>"Fabricação de fios e cabos isolados e seus acessórios"</f>
        <v>Fabricação de fios e cabos isolados e seus acessórios</v>
      </c>
    </row>
    <row r="675" spans="1:3" ht="15">
      <c r="A675">
        <v>4</v>
      </c>
      <c r="B675" t="str">
        <f>"2731"</f>
        <v>2731</v>
      </c>
      <c r="C675" t="str">
        <f>"Fabricação de cabos de fibra óptica"</f>
        <v>Fabricação de cabos de fibra óptica</v>
      </c>
    </row>
    <row r="676" spans="1:3" ht="15">
      <c r="A676">
        <v>5</v>
      </c>
      <c r="B676" t="str">
        <f>"27310"</f>
        <v>27310</v>
      </c>
      <c r="C676" t="str">
        <f>"Fabricação de cabos de fibra óptica"</f>
        <v>Fabricação de cabos de fibra óptica</v>
      </c>
    </row>
    <row r="677" spans="1:3" ht="15">
      <c r="A677">
        <v>4</v>
      </c>
      <c r="B677" t="str">
        <f>"2732"</f>
        <v>2732</v>
      </c>
      <c r="C677" t="str">
        <f>"Fabricação de outros fios e cabos eléctricos e electrónicos"</f>
        <v>Fabricação de outros fios e cabos eléctricos e electrónicos</v>
      </c>
    </row>
    <row r="678" spans="1:3" ht="15">
      <c r="A678">
        <v>5</v>
      </c>
      <c r="B678" t="str">
        <f>"27320"</f>
        <v>27320</v>
      </c>
      <c r="C678" t="str">
        <f>"Fabricação de outros fios e cabos eléctricos e electrónicos"</f>
        <v>Fabricação de outros fios e cabos eléctricos e electrónicos</v>
      </c>
    </row>
    <row r="679" spans="1:3" ht="15">
      <c r="A679">
        <v>4</v>
      </c>
      <c r="B679" t="str">
        <f>"2733"</f>
        <v>2733</v>
      </c>
      <c r="C679" t="str">
        <f>"Fabricação de dispositivos e acessórios para instalações eléctricas de baixa tensão"</f>
        <v>Fabricação de dispositivos e acessórios para instalações eléctricas de baixa tensão</v>
      </c>
    </row>
    <row r="680" spans="1:3" ht="15">
      <c r="A680">
        <v>5</v>
      </c>
      <c r="B680" t="str">
        <f>"27330"</f>
        <v>27330</v>
      </c>
      <c r="C680" t="str">
        <f>"Fabricação de dispositivos e acessórios para instalações eléctricas de baixa tensão"</f>
        <v>Fabricação de dispositivos e acessórios para instalações eléctricas de baixa tensão</v>
      </c>
    </row>
    <row r="681" spans="1:3" ht="15">
      <c r="A681">
        <v>3</v>
      </c>
      <c r="B681" t="str">
        <f>"274"</f>
        <v>274</v>
      </c>
      <c r="C681" t="str">
        <f>"Fabricação de lâmpadas eléctricas e de outro equipamento de iluminação"</f>
        <v>Fabricação de lâmpadas eléctricas e de outro equipamento de iluminação</v>
      </c>
    </row>
    <row r="682" spans="1:3" ht="15">
      <c r="A682">
        <v>4</v>
      </c>
      <c r="B682" t="str">
        <f>"2740"</f>
        <v>2740</v>
      </c>
      <c r="C682" t="str">
        <f>"Fabricação de lâmpadas eléctricas e de outro equipamento de iluminação"</f>
        <v>Fabricação de lâmpadas eléctricas e de outro equipamento de iluminação</v>
      </c>
    </row>
    <row r="683" spans="1:3" ht="15">
      <c r="A683">
        <v>5</v>
      </c>
      <c r="B683" t="str">
        <f>"27400"</f>
        <v>27400</v>
      </c>
      <c r="C683" t="str">
        <f>"Fabricação de lâmpadas eléctricas e de outro equipamento de iluminação"</f>
        <v>Fabricação de lâmpadas eléctricas e de outro equipamento de iluminação</v>
      </c>
    </row>
    <row r="684" spans="1:3" ht="15">
      <c r="A684">
        <v>3</v>
      </c>
      <c r="B684" t="str">
        <f>"275"</f>
        <v>275</v>
      </c>
      <c r="C684" t="str">
        <f>"Fabricação de aparelhos para uso doméstico"</f>
        <v>Fabricação de aparelhos para uso doméstico</v>
      </c>
    </row>
    <row r="685" spans="1:3" ht="15">
      <c r="A685">
        <v>4</v>
      </c>
      <c r="B685" t="str">
        <f>"2751"</f>
        <v>2751</v>
      </c>
      <c r="C685" t="str">
        <f>"Fabricação de electrodomésticos"</f>
        <v>Fabricação de electrodomésticos</v>
      </c>
    </row>
    <row r="686" spans="1:3" ht="15">
      <c r="A686">
        <v>5</v>
      </c>
      <c r="B686" t="str">
        <f>"27510"</f>
        <v>27510</v>
      </c>
      <c r="C686" t="str">
        <f>"Fabricação de electrodomésticos"</f>
        <v>Fabricação de electrodomésticos</v>
      </c>
    </row>
    <row r="687" spans="1:3" ht="15">
      <c r="A687">
        <v>4</v>
      </c>
      <c r="B687" t="str">
        <f>"2752"</f>
        <v>2752</v>
      </c>
      <c r="C687" t="str">
        <f>"Fabricação de aparelhos não eléctricos para uso doméstico"</f>
        <v>Fabricação de aparelhos não eléctricos para uso doméstico</v>
      </c>
    </row>
    <row r="688" spans="1:3" ht="15">
      <c r="A688">
        <v>5</v>
      </c>
      <c r="B688" t="str">
        <f>"27520"</f>
        <v>27520</v>
      </c>
      <c r="C688" t="str">
        <f>"Fabricação de aparelhos não eléctricos para uso doméstico"</f>
        <v>Fabricação de aparelhos não eléctricos para uso doméstico</v>
      </c>
    </row>
    <row r="689" spans="1:3" ht="15">
      <c r="A689">
        <v>3</v>
      </c>
      <c r="B689" t="str">
        <f>"279"</f>
        <v>279</v>
      </c>
      <c r="C689" t="str">
        <f>"Fabricação de outro equipamento eléctrico"</f>
        <v>Fabricação de outro equipamento eléctrico</v>
      </c>
    </row>
    <row r="690" spans="1:3" ht="15">
      <c r="A690">
        <v>4</v>
      </c>
      <c r="B690" t="str">
        <f>"2790"</f>
        <v>2790</v>
      </c>
      <c r="C690" t="str">
        <f>"Fabricação de outro equipamento eléctrico"</f>
        <v>Fabricação de outro equipamento eléctrico</v>
      </c>
    </row>
    <row r="691" spans="1:3" ht="15">
      <c r="A691">
        <v>5</v>
      </c>
      <c r="B691" t="str">
        <f>"27900"</f>
        <v>27900</v>
      </c>
      <c r="C691" t="str">
        <f>"Fabricação de outro equipamento eléctrico"</f>
        <v>Fabricação de outro equipamento eléctrico</v>
      </c>
    </row>
    <row r="692" spans="1:3" ht="15">
      <c r="A692">
        <v>2</v>
      </c>
      <c r="B692" t="str">
        <f>"28"</f>
        <v>28</v>
      </c>
      <c r="C692" t="str">
        <f>"Fabricação de máquinas e de equipamentos, n.e."</f>
        <v>Fabricação de máquinas e de equipamentos, n.e.</v>
      </c>
    </row>
    <row r="693" spans="1:3" ht="15">
      <c r="A693">
        <v>3</v>
      </c>
      <c r="B693" t="str">
        <f>"281"</f>
        <v>281</v>
      </c>
      <c r="C693" t="str">
        <f>"Fabricação de máquinas e de equipamentos para uso geral"</f>
        <v>Fabricação de máquinas e de equipamentos para uso geral</v>
      </c>
    </row>
    <row r="694" spans="1:3" ht="15">
      <c r="A694">
        <v>4</v>
      </c>
      <c r="B694" t="str">
        <f>"2811"</f>
        <v>2811</v>
      </c>
      <c r="C694" t="str">
        <f>"Fabricação de motores e turbinas, excepto motores para aeronaves, automóveis e motociclos"</f>
        <v>Fabricação de motores e turbinas, excepto motores para aeronaves, automóveis e motociclos</v>
      </c>
    </row>
    <row r="695" spans="1:3" ht="15">
      <c r="A695">
        <v>5</v>
      </c>
      <c r="B695" t="str">
        <f>"28110"</f>
        <v>28110</v>
      </c>
      <c r="C695" t="str">
        <f>"Fabricação de motores e turbinas, excepto motores para aeronaves, automóveis e motociclos"</f>
        <v>Fabricação de motores e turbinas, excepto motores para aeronaves, automóveis e motociclos</v>
      </c>
    </row>
    <row r="696" spans="1:3" ht="15">
      <c r="A696">
        <v>4</v>
      </c>
      <c r="B696" t="str">
        <f>"2812"</f>
        <v>2812</v>
      </c>
      <c r="C696" t="str">
        <f>"Fabricação de equipamento hidráulico e pneumático"</f>
        <v>Fabricação de equipamento hidráulico e pneumático</v>
      </c>
    </row>
    <row r="697" spans="1:3" ht="15">
      <c r="A697">
        <v>5</v>
      </c>
      <c r="B697" t="str">
        <f>"28120"</f>
        <v>28120</v>
      </c>
      <c r="C697" t="str">
        <f>"Fabricação de equipamento hidráulico e pneumático"</f>
        <v>Fabricação de equipamento hidráulico e pneumático</v>
      </c>
    </row>
    <row r="698" spans="1:3" ht="15">
      <c r="A698">
        <v>4</v>
      </c>
      <c r="B698" t="str">
        <f>"2813"</f>
        <v>2813</v>
      </c>
      <c r="C698" t="str">
        <f>"Fabricação de outras bombas e compressores"</f>
        <v>Fabricação de outras bombas e compressores</v>
      </c>
    </row>
    <row r="699" spans="1:3" ht="15">
      <c r="A699">
        <v>5</v>
      </c>
      <c r="B699" t="str">
        <f>"28130"</f>
        <v>28130</v>
      </c>
      <c r="C699" t="str">
        <f>"Fabricação de outras bombas e compressores"</f>
        <v>Fabricação de outras bombas e compressores</v>
      </c>
    </row>
    <row r="700" spans="1:3" ht="15">
      <c r="A700">
        <v>4</v>
      </c>
      <c r="B700" t="str">
        <f>"2814"</f>
        <v>2814</v>
      </c>
      <c r="C700" t="str">
        <f>"Fabricação de outras torneiras e válvulas"</f>
        <v>Fabricação de outras torneiras e válvulas</v>
      </c>
    </row>
    <row r="701" spans="1:3" ht="15">
      <c r="A701">
        <v>5</v>
      </c>
      <c r="B701" t="str">
        <f>"28140"</f>
        <v>28140</v>
      </c>
      <c r="C701" t="str">
        <f>"Fabricação de  outras torneiras e válvulas"</f>
        <v>Fabricação de  outras torneiras e válvulas</v>
      </c>
    </row>
    <row r="702" spans="1:3" ht="15">
      <c r="A702">
        <v>4</v>
      </c>
      <c r="B702" t="str">
        <f>"2815"</f>
        <v>2815</v>
      </c>
      <c r="C702" t="str">
        <f>"Fabricação de rolamentos, de engrenagens e de outros órgãos de transmissão"</f>
        <v>Fabricação de rolamentos, de engrenagens e de outros órgãos de transmissão</v>
      </c>
    </row>
    <row r="703" spans="1:3" ht="15">
      <c r="A703">
        <v>5</v>
      </c>
      <c r="B703" t="str">
        <f>"28150"</f>
        <v>28150</v>
      </c>
      <c r="C703" t="str">
        <f>"Fabricação de rolamentos, de engrenagens e de outros órgãos de transmissão"</f>
        <v>Fabricação de rolamentos, de engrenagens e de outros órgãos de transmissão</v>
      </c>
    </row>
    <row r="704" spans="1:3" ht="15">
      <c r="A704">
        <v>3</v>
      </c>
      <c r="B704" t="str">
        <f>"282"</f>
        <v>282</v>
      </c>
      <c r="C704" t="str">
        <f>"Fabricação de outras máquinas para uso geral"</f>
        <v>Fabricação de outras máquinas para uso geral</v>
      </c>
    </row>
    <row r="705" spans="1:3" ht="15">
      <c r="A705">
        <v>4</v>
      </c>
      <c r="B705" t="str">
        <f>"2821"</f>
        <v>2821</v>
      </c>
      <c r="C705" t="str">
        <f>"Fabricação de fornos e queimadores"</f>
        <v>Fabricação de fornos e queimadores</v>
      </c>
    </row>
    <row r="706" spans="1:3" ht="15">
      <c r="A706">
        <v>5</v>
      </c>
      <c r="B706" t="str">
        <f>"28210"</f>
        <v>28210</v>
      </c>
      <c r="C706" t="str">
        <f>"Fabricação de fornos e queimadores"</f>
        <v>Fabricação de fornos e queimadores</v>
      </c>
    </row>
    <row r="707" spans="1:3" ht="15">
      <c r="A707">
        <v>4</v>
      </c>
      <c r="B707" t="str">
        <f>"2822"</f>
        <v>2822</v>
      </c>
      <c r="C707" t="str">
        <f>"Fabricação de equipamento de elevação e de movimentação"</f>
        <v>Fabricação de equipamento de elevação e de movimentação</v>
      </c>
    </row>
    <row r="708" spans="1:3" ht="15">
      <c r="A708">
        <v>5</v>
      </c>
      <c r="B708" t="str">
        <f>"28221"</f>
        <v>28221</v>
      </c>
      <c r="C708" t="str">
        <f>"Fabricação de ascensores e monta cargas, escadas e passadeiras rolantes"</f>
        <v>Fabricação de ascensores e monta cargas, escadas e passadeiras rolantes</v>
      </c>
    </row>
    <row r="709" spans="1:3" ht="15">
      <c r="A709">
        <v>5</v>
      </c>
      <c r="B709" t="str">
        <f>"28222"</f>
        <v>28222</v>
      </c>
      <c r="C709" t="str">
        <f>"Fabricação de equipamentos de elevação e de movimentação, n.e."</f>
        <v>Fabricação de equipamentos de elevação e de movimentação, n.e.</v>
      </c>
    </row>
    <row r="710" spans="1:3" ht="15">
      <c r="A710">
        <v>4</v>
      </c>
      <c r="B710" t="str">
        <f>"2823"</f>
        <v>2823</v>
      </c>
      <c r="C710" t="str">
        <f>"Fabricação de máquinas e equipamento de escritório, excepto computadores e equipamento periférico"</f>
        <v>Fabricação de máquinas e equipamento de escritório, excepto computadores e equipamento periférico</v>
      </c>
    </row>
    <row r="711" spans="1:3" ht="15">
      <c r="A711">
        <v>5</v>
      </c>
      <c r="B711" t="str">
        <f>"28230"</f>
        <v>28230</v>
      </c>
      <c r="C711" t="str">
        <f>"Fabricação de máquinas e equipamento de escritório, excepto computadores e equipamento periférico"</f>
        <v>Fabricação de máquinas e equipamento de escritório, excepto computadores e equipamento periférico</v>
      </c>
    </row>
    <row r="712" spans="1:3" ht="15">
      <c r="A712">
        <v>4</v>
      </c>
      <c r="B712" t="str">
        <f>"2824"</f>
        <v>2824</v>
      </c>
      <c r="C712" t="str">
        <f>"Fabricação de máquinas-ferramentas portáteis com motor"</f>
        <v>Fabricação de máquinas-ferramentas portáteis com motor</v>
      </c>
    </row>
    <row r="713" spans="1:3" ht="15">
      <c r="A713">
        <v>5</v>
      </c>
      <c r="B713" t="str">
        <f>"28240"</f>
        <v>28240</v>
      </c>
      <c r="C713" t="str">
        <f>"Fabricação de máquinas-ferramentas portáteis com motor"</f>
        <v>Fabricação de máquinas-ferramentas portáteis com motor</v>
      </c>
    </row>
    <row r="714" spans="1:3" ht="15">
      <c r="A714">
        <v>4</v>
      </c>
      <c r="B714" t="str">
        <f>"2825"</f>
        <v>2825</v>
      </c>
      <c r="C714" t="str">
        <f>"Fabricação de equipamento não doméstico para refrigeração e ventilação"</f>
        <v>Fabricação de equipamento não doméstico para refrigeração e ventilação</v>
      </c>
    </row>
    <row r="715" spans="1:3" ht="15">
      <c r="A715">
        <v>5</v>
      </c>
      <c r="B715" t="str">
        <f>"28250"</f>
        <v>28250</v>
      </c>
      <c r="C715" t="str">
        <f>"Fabricação de equipamento não doméstico para refrigeração e ventilação"</f>
        <v>Fabricação de equipamento não doméstico para refrigeração e ventilação</v>
      </c>
    </row>
    <row r="716" spans="1:3" ht="15">
      <c r="A716">
        <v>4</v>
      </c>
      <c r="B716" t="str">
        <f>"2829"</f>
        <v>2829</v>
      </c>
      <c r="C716" t="str">
        <f>"Fabricação de outras máquinas para uso geral, n.e."</f>
        <v>Fabricação de outras máquinas para uso geral, n.e.</v>
      </c>
    </row>
    <row r="717" spans="1:3" ht="15">
      <c r="A717">
        <v>5</v>
      </c>
      <c r="B717" t="str">
        <f>"28291"</f>
        <v>28291</v>
      </c>
      <c r="C717" t="str">
        <f>"Fabricação de máquinas de acondicionamento e de embalagem"</f>
        <v>Fabricação de máquinas de acondicionamento e de embalagem</v>
      </c>
    </row>
    <row r="718" spans="1:3" ht="15">
      <c r="A718">
        <v>5</v>
      </c>
      <c r="B718" t="str">
        <f>"28292"</f>
        <v>28292</v>
      </c>
      <c r="C718" t="str">
        <f>"Fabricação de balanças e de outro equipamento para pesagem "</f>
        <v>Fabricação de balanças e de outro equipamento para pesagem </v>
      </c>
    </row>
    <row r="719" spans="1:3" ht="15">
      <c r="A719">
        <v>5</v>
      </c>
      <c r="B719" t="str">
        <f>"28293"</f>
        <v>28293</v>
      </c>
      <c r="C719" t="str">
        <f>"Fabricação de outras máquinas diversas de uso geral, n.e."</f>
        <v>Fabricação de outras máquinas diversas de uso geral, n.e.</v>
      </c>
    </row>
    <row r="720" spans="1:3" ht="15">
      <c r="A720">
        <v>3</v>
      </c>
      <c r="B720" t="str">
        <f>"283"</f>
        <v>283</v>
      </c>
      <c r="C720" t="str">
        <f>"Fabricação de máquinas e de tractores para a agricultura, pecuária e silvicultura"</f>
        <v>Fabricação de máquinas e de tractores para a agricultura, pecuária e silvicultura</v>
      </c>
    </row>
    <row r="721" spans="1:3" ht="15">
      <c r="A721">
        <v>4</v>
      </c>
      <c r="B721" t="str">
        <f>"2830"</f>
        <v>2830</v>
      </c>
      <c r="C721" t="str">
        <f>"Fabricação de máquinas e de tractores para a agricultura, pecuária e silvicultura"</f>
        <v>Fabricação de máquinas e de tractores para a agricultura, pecuária e silvicultura</v>
      </c>
    </row>
    <row r="722" spans="1:3" ht="15">
      <c r="A722">
        <v>5</v>
      </c>
      <c r="B722" t="str">
        <f>"28300"</f>
        <v>28300</v>
      </c>
      <c r="C722" t="str">
        <f>"Fabricação de máquinas e de tractores para a agricultura, pecuária e silvicultura"</f>
        <v>Fabricação de máquinas e de tractores para a agricultura, pecuária e silvicultura</v>
      </c>
    </row>
    <row r="723" spans="1:3" ht="15">
      <c r="A723">
        <v>3</v>
      </c>
      <c r="B723" t="str">
        <f>"284"</f>
        <v>284</v>
      </c>
      <c r="C723" t="str">
        <f>"Fabricação de máquinas-ferramentas, excepto portáteis"</f>
        <v>Fabricação de máquinas-ferramentas, excepto portáteis</v>
      </c>
    </row>
    <row r="724" spans="1:3" ht="15">
      <c r="A724">
        <v>4</v>
      </c>
      <c r="B724" t="str">
        <f>"2841"</f>
        <v>2841</v>
      </c>
      <c r="C724" t="str">
        <f>"Fabricação de máquinas-ferramentas para metais"</f>
        <v>Fabricação de máquinas-ferramentas para metais</v>
      </c>
    </row>
    <row r="725" spans="1:3" ht="15">
      <c r="A725">
        <v>5</v>
      </c>
      <c r="B725" t="str">
        <f>"28410"</f>
        <v>28410</v>
      </c>
      <c r="C725" t="str">
        <f>"Fabricação de máquinas-ferramentas para metais"</f>
        <v>Fabricação de máquinas-ferramentas para metais</v>
      </c>
    </row>
    <row r="726" spans="1:3" ht="15">
      <c r="A726">
        <v>4</v>
      </c>
      <c r="B726" t="str">
        <f>"2849"</f>
        <v>2849</v>
      </c>
      <c r="C726" t="str">
        <f>"Fabricação de outras máquinas-ferramentas, n.e."</f>
        <v>Fabricação de outras máquinas-ferramentas, n.e.</v>
      </c>
    </row>
    <row r="727" spans="1:3" ht="15">
      <c r="A727">
        <v>5</v>
      </c>
      <c r="B727" t="str">
        <f>"28490"</f>
        <v>28490</v>
      </c>
      <c r="C727" t="str">
        <f>"Fabricação de outras máquinas-ferramentas, n.e."</f>
        <v>Fabricação de outras máquinas-ferramentas, n.e.</v>
      </c>
    </row>
    <row r="728" spans="1:3" ht="15">
      <c r="A728">
        <v>3</v>
      </c>
      <c r="B728" t="str">
        <f>"289"</f>
        <v>289</v>
      </c>
      <c r="C728" t="str">
        <f>"Fabricação de outras máquinas e equipamento para uso específico"</f>
        <v>Fabricação de outras máquinas e equipamento para uso específico</v>
      </c>
    </row>
    <row r="729" spans="1:3" ht="15">
      <c r="A729">
        <v>4</v>
      </c>
      <c r="B729" t="str">
        <f>"2891"</f>
        <v>2891</v>
      </c>
      <c r="C729" t="str">
        <f>"Fabricação de máquinas para a metalurgia"</f>
        <v>Fabricação de máquinas para a metalurgia</v>
      </c>
    </row>
    <row r="730" spans="1:3" ht="15">
      <c r="A730">
        <v>5</v>
      </c>
      <c r="B730" t="str">
        <f>"28910"</f>
        <v>28910</v>
      </c>
      <c r="C730" t="str">
        <f>"Fabricação de máquinas para a metalurgia"</f>
        <v>Fabricação de máquinas para a metalurgia</v>
      </c>
    </row>
    <row r="731" spans="1:3" ht="15">
      <c r="A731">
        <v>4</v>
      </c>
      <c r="B731" t="str">
        <f>"2892"</f>
        <v>2892</v>
      </c>
      <c r="C731" t="str">
        <f>"Fabricação de máquinas para as indústrias extractivas e para a construção"</f>
        <v>Fabricação de máquinas para as indústrias extractivas e para a construção</v>
      </c>
    </row>
    <row r="732" spans="1:3" ht="15">
      <c r="A732">
        <v>5</v>
      </c>
      <c r="B732" t="str">
        <f>"28920"</f>
        <v>28920</v>
      </c>
      <c r="C732" t="str">
        <f>"Fabricação de máquinas para as indústrias extractivas e para a construção"</f>
        <v>Fabricação de máquinas para as indústrias extractivas e para a construção</v>
      </c>
    </row>
    <row r="733" spans="1:3" ht="15">
      <c r="A733">
        <v>4</v>
      </c>
      <c r="B733" t="str">
        <f>"2893"</f>
        <v>2893</v>
      </c>
      <c r="C733" t="str">
        <f>"Fabricação de máquinas para as indústrias alimentares, das bebidas e do tabaco"</f>
        <v>Fabricação de máquinas para as indústrias alimentares, das bebidas e do tabaco</v>
      </c>
    </row>
    <row r="734" spans="1:3" ht="15">
      <c r="A734">
        <v>5</v>
      </c>
      <c r="B734" t="str">
        <f>"28930"</f>
        <v>28930</v>
      </c>
      <c r="C734" t="str">
        <f>"Fabricação de máquinas para as indústrias alimentares, das bebidas e do tabaco"</f>
        <v>Fabricação de máquinas para as indústrias alimentares, das bebidas e do tabaco</v>
      </c>
    </row>
    <row r="735" spans="1:3" ht="15">
      <c r="A735">
        <v>4</v>
      </c>
      <c r="B735" t="str">
        <f>"2894"</f>
        <v>2894</v>
      </c>
      <c r="C735" t="str">
        <f>"Fabricação de máquinas para as indústrias têxtil, do vestuário e do couro"</f>
        <v>Fabricação de máquinas para as indústrias têxtil, do vestuário e do couro</v>
      </c>
    </row>
    <row r="736" spans="1:3" ht="15">
      <c r="A736">
        <v>5</v>
      </c>
      <c r="B736" t="str">
        <f>"28940"</f>
        <v>28940</v>
      </c>
      <c r="C736" t="str">
        <f>"Fabricação de máquinas para as indústrias têxtil, do vestuário e do couro"</f>
        <v>Fabricação de máquinas para as indústrias têxtil, do vestuário e do couro</v>
      </c>
    </row>
    <row r="737" spans="1:3" ht="15">
      <c r="A737">
        <v>4</v>
      </c>
      <c r="B737" t="str">
        <f>"2895"</f>
        <v>2895</v>
      </c>
      <c r="C737" t="str">
        <f>"Fabricação de máquinas para as indústrias do papel e do cartão"</f>
        <v>Fabricação de máquinas para as indústrias do papel e do cartão</v>
      </c>
    </row>
    <row r="738" spans="1:3" ht="15">
      <c r="A738">
        <v>5</v>
      </c>
      <c r="B738" t="str">
        <f>"28950"</f>
        <v>28950</v>
      </c>
      <c r="C738" t="str">
        <f>"Fabricação de máquinas para as indústrias do papel e do cartão"</f>
        <v>Fabricação de máquinas para as indústrias do papel e do cartão</v>
      </c>
    </row>
    <row r="739" spans="1:3" ht="15">
      <c r="A739">
        <v>4</v>
      </c>
      <c r="B739" t="str">
        <f>"2896"</f>
        <v>2896</v>
      </c>
      <c r="C739" t="str">
        <f>"Fabricação de máquinas para as indústrias do plástico e da borracha"</f>
        <v>Fabricação de máquinas para as indústrias do plástico e da borracha</v>
      </c>
    </row>
    <row r="740" spans="1:3" ht="15">
      <c r="A740">
        <v>5</v>
      </c>
      <c r="B740" t="str">
        <f>"28960"</f>
        <v>28960</v>
      </c>
      <c r="C740" t="str">
        <f>"Fabricação de máquinas para as indústrias do plástico e da borracha"</f>
        <v>Fabricação de máquinas para as indústrias do plástico e da borracha</v>
      </c>
    </row>
    <row r="741" spans="1:3" ht="15">
      <c r="A741">
        <v>4</v>
      </c>
      <c r="B741" t="str">
        <f>"2899"</f>
        <v>2899</v>
      </c>
      <c r="C741" t="str">
        <f>"Fabricação de outras máquinas e equipamento para uso específico, n.e."</f>
        <v>Fabricação de outras máquinas e equipamento para uso específico, n.e.</v>
      </c>
    </row>
    <row r="742" spans="1:3" ht="15">
      <c r="A742">
        <v>5</v>
      </c>
      <c r="B742" t="str">
        <f>"28991"</f>
        <v>28991</v>
      </c>
      <c r="C742" t="str">
        <f>"Fabricação de máquinas para as indústrias de materiais de construção, cerâmica e vidro"</f>
        <v>Fabricação de máquinas para as indústrias de materiais de construção, cerâmica e vidro</v>
      </c>
    </row>
    <row r="743" spans="1:3" ht="15">
      <c r="A743">
        <v>5</v>
      </c>
      <c r="B743" t="str">
        <f>"28992"</f>
        <v>28992</v>
      </c>
      <c r="C743" t="str">
        <f>"Fabricação de outras máquinas diversas para uso específico, n.e."</f>
        <v>Fabricação de outras máquinas diversas para uso específico, n.e.</v>
      </c>
    </row>
    <row r="744" spans="1:3" ht="15">
      <c r="A744">
        <v>2</v>
      </c>
      <c r="B744" t="str">
        <f>"29"</f>
        <v>29</v>
      </c>
      <c r="C744" t="str">
        <f>"Fabricação de veículos automóveis, reboques, semi-reboques e componentes para veículos automóveis"</f>
        <v>Fabricação de veículos automóveis, reboques, semi-reboques e componentes para veículos automóveis</v>
      </c>
    </row>
    <row r="745" spans="1:3" ht="15">
      <c r="A745">
        <v>3</v>
      </c>
      <c r="B745" t="str">
        <f>"291"</f>
        <v>291</v>
      </c>
      <c r="C745" t="str">
        <f>"Fabricação de veículos automóveis"</f>
        <v>Fabricação de veículos automóveis</v>
      </c>
    </row>
    <row r="746" spans="1:3" ht="15">
      <c r="A746">
        <v>4</v>
      </c>
      <c r="B746" t="str">
        <f>"2910"</f>
        <v>2910</v>
      </c>
      <c r="C746" t="str">
        <f>"Fabricação de veículos automóveis"</f>
        <v>Fabricação de veículos automóveis</v>
      </c>
    </row>
    <row r="747" spans="1:3" ht="15">
      <c r="A747">
        <v>5</v>
      </c>
      <c r="B747" t="str">
        <f>"29100"</f>
        <v>29100</v>
      </c>
      <c r="C747" t="str">
        <f>"Fabricação de veículos automóveis"</f>
        <v>Fabricação de veículos automóveis</v>
      </c>
    </row>
    <row r="748" spans="1:3" ht="15">
      <c r="A748">
        <v>3</v>
      </c>
      <c r="B748" t="str">
        <f>"292"</f>
        <v>292</v>
      </c>
      <c r="C748" t="str">
        <f>"Fabricação de carroçarias, reboques e semi-reboques"</f>
        <v>Fabricação de carroçarias, reboques e semi-reboques</v>
      </c>
    </row>
    <row r="749" spans="1:3" ht="15">
      <c r="A749">
        <v>4</v>
      </c>
      <c r="B749" t="str">
        <f>"2920"</f>
        <v>2920</v>
      </c>
      <c r="C749" t="str">
        <f>"Fabricação de carroçarias, reboques e semi-reboques"</f>
        <v>Fabricação de carroçarias, reboques e semi-reboques</v>
      </c>
    </row>
    <row r="750" spans="1:3" ht="15">
      <c r="A750">
        <v>5</v>
      </c>
      <c r="B750" t="str">
        <f>"29200"</f>
        <v>29200</v>
      </c>
      <c r="C750" t="str">
        <f>"Fabricação de carroçarias, reboques e semi-reboques"</f>
        <v>Fabricação de carroçarias, reboques e semi-reboques</v>
      </c>
    </row>
    <row r="751" spans="1:3" ht="15">
      <c r="A751">
        <v>3</v>
      </c>
      <c r="B751" t="str">
        <f>"293"</f>
        <v>293</v>
      </c>
      <c r="C751" t="str">
        <f>"Fabricação de componentes e acessórios para veículos automóveis"</f>
        <v>Fabricação de componentes e acessórios para veículos automóveis</v>
      </c>
    </row>
    <row r="752" spans="1:3" ht="15">
      <c r="A752">
        <v>4</v>
      </c>
      <c r="B752" t="str">
        <f>"2931"</f>
        <v>2931</v>
      </c>
      <c r="C752" t="str">
        <f>"Fabricação de equipamento eléctrico e electrónico para veículos automóveis"</f>
        <v>Fabricação de equipamento eléctrico e electrónico para veículos automóveis</v>
      </c>
    </row>
    <row r="753" spans="1:3" ht="15">
      <c r="A753">
        <v>5</v>
      </c>
      <c r="B753" t="str">
        <f>"29310"</f>
        <v>29310</v>
      </c>
      <c r="C753" t="str">
        <f>"Fabricação de equipamento eléctrico e electrónico para veículos automóveis"</f>
        <v>Fabricação de equipamento eléctrico e electrónico para veículos automóveis</v>
      </c>
    </row>
    <row r="754" spans="1:3" ht="15">
      <c r="A754">
        <v>4</v>
      </c>
      <c r="B754" t="str">
        <f>"2932"</f>
        <v>2932</v>
      </c>
      <c r="C754" t="str">
        <f>"Fabricação de outros componentes e acessórios para veículos automóveis"</f>
        <v>Fabricação de outros componentes e acessórios para veículos automóveis</v>
      </c>
    </row>
    <row r="755" spans="1:3" ht="15">
      <c r="A755">
        <v>5</v>
      </c>
      <c r="B755" t="str">
        <f>"29320"</f>
        <v>29320</v>
      </c>
      <c r="C755" t="str">
        <f>"Fabricação de outros componentes e acessórios para veículos automóveis"</f>
        <v>Fabricação de outros componentes e acessórios para veículos automóveis</v>
      </c>
    </row>
    <row r="756" spans="1:3" ht="15">
      <c r="A756">
        <v>2</v>
      </c>
      <c r="B756" t="str">
        <f>"30"</f>
        <v>30</v>
      </c>
      <c r="C756" t="str">
        <f>"Fabricação de outro equipamento de transporte"</f>
        <v>Fabricação de outro equipamento de transporte</v>
      </c>
    </row>
    <row r="757" spans="1:3" ht="15">
      <c r="A757">
        <v>3</v>
      </c>
      <c r="B757" t="str">
        <f>"301"</f>
        <v>301</v>
      </c>
      <c r="C757" t="str">
        <f>"Construção naval"</f>
        <v>Construção naval</v>
      </c>
    </row>
    <row r="758" spans="1:3" ht="15">
      <c r="A758">
        <v>4</v>
      </c>
      <c r="B758" t="str">
        <f>"3011"</f>
        <v>3011</v>
      </c>
      <c r="C758" t="str">
        <f>"Construção de embarcações e estruturas flutuantes, excepto de recreio e desporto"</f>
        <v>Construção de embarcações e estruturas flutuantes, excepto de recreio e desporto</v>
      </c>
    </row>
    <row r="759" spans="1:3" ht="15">
      <c r="A759">
        <v>5</v>
      </c>
      <c r="B759" t="str">
        <f>"30111"</f>
        <v>30111</v>
      </c>
      <c r="C759" t="str">
        <f>"Construção de embarcações metálicas e estruturas flutuantes, excepto de recreio e desporto"</f>
        <v>Construção de embarcações metálicas e estruturas flutuantes, excepto de recreio e desporto</v>
      </c>
    </row>
    <row r="760" spans="1:3" ht="15">
      <c r="A760">
        <v>5</v>
      </c>
      <c r="B760" t="str">
        <f>"30112"</f>
        <v>30112</v>
      </c>
      <c r="C760" t="str">
        <f>"Construção de embarcações não metálicas, excepto de recreio e desporto"</f>
        <v>Construção de embarcações não metálicas, excepto de recreio e desporto</v>
      </c>
    </row>
    <row r="761" spans="1:3" ht="15">
      <c r="A761">
        <v>4</v>
      </c>
      <c r="B761" t="str">
        <f>"3012"</f>
        <v>3012</v>
      </c>
      <c r="C761" t="str">
        <f>"Construção de embarcações de recreio e de desporto"</f>
        <v>Construção de embarcações de recreio e de desporto</v>
      </c>
    </row>
    <row r="762" spans="1:3" ht="15">
      <c r="A762">
        <v>5</v>
      </c>
      <c r="B762" t="str">
        <f>"30120"</f>
        <v>30120</v>
      </c>
      <c r="C762" t="str">
        <f>"Construção de embarcações de recreio e de desporto"</f>
        <v>Construção de embarcações de recreio e de desporto</v>
      </c>
    </row>
    <row r="763" spans="1:3" ht="15">
      <c r="A763">
        <v>3</v>
      </c>
      <c r="B763" t="str">
        <f>"302"</f>
        <v>302</v>
      </c>
      <c r="C763" t="str">
        <f>"Fabricação de material circulante para caminhos-de-ferro"</f>
        <v>Fabricação de material circulante para caminhos-de-ferro</v>
      </c>
    </row>
    <row r="764" spans="1:3" ht="15">
      <c r="A764">
        <v>4</v>
      </c>
      <c r="B764" t="str">
        <f>"3020"</f>
        <v>3020</v>
      </c>
      <c r="C764" t="str">
        <f>"Fabricação de material circulante para caminhos-de-ferro"</f>
        <v>Fabricação de material circulante para caminhos-de-ferro</v>
      </c>
    </row>
    <row r="765" spans="1:3" ht="15">
      <c r="A765">
        <v>5</v>
      </c>
      <c r="B765" t="str">
        <f>"30200"</f>
        <v>30200</v>
      </c>
      <c r="C765" t="str">
        <f>"Fabricação de material circulante para caminhos-de-ferro"</f>
        <v>Fabricação de material circulante para caminhos-de-ferro</v>
      </c>
    </row>
    <row r="766" spans="1:3" ht="15">
      <c r="A766">
        <v>3</v>
      </c>
      <c r="B766" t="str">
        <f>"303"</f>
        <v>303</v>
      </c>
      <c r="C766" t="str">
        <f>"Fabricação de aeronaves, de veículos espaciais e equipamento relacionado"</f>
        <v>Fabricação de aeronaves, de veículos espaciais e equipamento relacionado</v>
      </c>
    </row>
    <row r="767" spans="1:3" ht="15">
      <c r="A767">
        <v>4</v>
      </c>
      <c r="B767" t="str">
        <f>"3030"</f>
        <v>3030</v>
      </c>
      <c r="C767" t="str">
        <f>"Fabricação de aeronaves, de veículos espaciais e equipamento relacionado"</f>
        <v>Fabricação de aeronaves, de veículos espaciais e equipamento relacionado</v>
      </c>
    </row>
    <row r="768" spans="1:3" ht="15">
      <c r="A768">
        <v>5</v>
      </c>
      <c r="B768" t="str">
        <f>"30300"</f>
        <v>30300</v>
      </c>
      <c r="C768" t="str">
        <f>"Fabricação de aeronaves, de veículos espaciais e equipamento relacionado"</f>
        <v>Fabricação de aeronaves, de veículos espaciais e equipamento relacionado</v>
      </c>
    </row>
    <row r="769" spans="1:3" ht="15">
      <c r="A769">
        <v>3</v>
      </c>
      <c r="B769" t="str">
        <f>"304"</f>
        <v>304</v>
      </c>
      <c r="C769" t="str">
        <f>"Fabricação de veículos militares de combate"</f>
        <v>Fabricação de veículos militares de combate</v>
      </c>
    </row>
    <row r="770" spans="1:3" ht="15">
      <c r="A770">
        <v>4</v>
      </c>
      <c r="B770" t="str">
        <f>"3040"</f>
        <v>3040</v>
      </c>
      <c r="C770" t="str">
        <f>"Fabricação de veículos militares de combate"</f>
        <v>Fabricação de veículos militares de combate</v>
      </c>
    </row>
    <row r="771" spans="1:3" ht="15">
      <c r="A771">
        <v>5</v>
      </c>
      <c r="B771" t="str">
        <f>"30400"</f>
        <v>30400</v>
      </c>
      <c r="C771" t="str">
        <f>"Fabricação de veículos militares de combate"</f>
        <v>Fabricação de veículos militares de combate</v>
      </c>
    </row>
    <row r="772" spans="1:3" ht="15">
      <c r="A772">
        <v>3</v>
      </c>
      <c r="B772" t="str">
        <f>"309"</f>
        <v>309</v>
      </c>
      <c r="C772" t="str">
        <f>"Fabricação de  equipamento de transporte, n.e."</f>
        <v>Fabricação de  equipamento de transporte, n.e.</v>
      </c>
    </row>
    <row r="773" spans="1:3" ht="15">
      <c r="A773">
        <v>4</v>
      </c>
      <c r="B773" t="str">
        <f>"3091"</f>
        <v>3091</v>
      </c>
      <c r="C773" t="str">
        <f>"Fabricação de motociclos"</f>
        <v>Fabricação de motociclos</v>
      </c>
    </row>
    <row r="774" spans="1:3" ht="15">
      <c r="A774">
        <v>5</v>
      </c>
      <c r="B774" t="str">
        <f>"30910"</f>
        <v>30910</v>
      </c>
      <c r="C774" t="str">
        <f>"Fabricação de motociclos"</f>
        <v>Fabricação de motociclos</v>
      </c>
    </row>
    <row r="775" spans="1:3" ht="15">
      <c r="A775">
        <v>4</v>
      </c>
      <c r="B775" t="str">
        <f>"3092"</f>
        <v>3092</v>
      </c>
      <c r="C775" t="str">
        <f>"Fabricação de bicicletas e veículos para inválidos"</f>
        <v>Fabricação de bicicletas e veículos para inválidos</v>
      </c>
    </row>
    <row r="776" spans="1:3" ht="15">
      <c r="A776">
        <v>5</v>
      </c>
      <c r="B776" t="str">
        <f>"30920"</f>
        <v>30920</v>
      </c>
      <c r="C776" t="str">
        <f>"Fabricação de bicicletas e veículos para inválidos"</f>
        <v>Fabricação de bicicletas e veículos para inválidos</v>
      </c>
    </row>
    <row r="777" spans="1:3" ht="15">
      <c r="A777">
        <v>4</v>
      </c>
      <c r="B777" t="str">
        <f>"3099"</f>
        <v>3099</v>
      </c>
      <c r="C777" t="str">
        <f>"Fabricação de outro equipamento de transporte, n.e."</f>
        <v>Fabricação de outro equipamento de transporte, n.e.</v>
      </c>
    </row>
    <row r="778" spans="1:3" ht="15">
      <c r="A778">
        <v>5</v>
      </c>
      <c r="B778" t="str">
        <f>"30990"</f>
        <v>30990</v>
      </c>
      <c r="C778" t="str">
        <f>"Fabricação de outro equipamento de transporte, n.e."</f>
        <v>Fabricação de outro equipamento de transporte, n.e.</v>
      </c>
    </row>
    <row r="779" spans="1:3" ht="15">
      <c r="A779">
        <v>2</v>
      </c>
      <c r="B779" t="str">
        <f>"31"</f>
        <v>31</v>
      </c>
      <c r="C779" t="str">
        <f>"Fabrico de mobiliário e de colchões"</f>
        <v>Fabrico de mobiliário e de colchões</v>
      </c>
    </row>
    <row r="780" spans="1:3" ht="15">
      <c r="A780">
        <v>3</v>
      </c>
      <c r="B780" t="str">
        <f>"310"</f>
        <v>310</v>
      </c>
      <c r="C780" t="str">
        <f>"Fabrico de mobiliário e de colchões"</f>
        <v>Fabrico de mobiliário e de colchões</v>
      </c>
    </row>
    <row r="781" spans="1:3" ht="15">
      <c r="A781">
        <v>4</v>
      </c>
      <c r="B781" t="str">
        <f>"3101"</f>
        <v>3101</v>
      </c>
      <c r="C781" t="str">
        <f>"Fabricação de mobiliário para escritório e comércio"</f>
        <v>Fabricação de mobiliário para escritório e comércio</v>
      </c>
    </row>
    <row r="782" spans="1:3" ht="15">
      <c r="A782">
        <v>5</v>
      </c>
      <c r="B782" t="str">
        <f>"31010"</f>
        <v>31010</v>
      </c>
      <c r="C782" t="str">
        <f>"Fabricação de mobiliário para escritório e comércio"</f>
        <v>Fabricação de mobiliário para escritório e comércio</v>
      </c>
    </row>
    <row r="783" spans="1:3" ht="15">
      <c r="A783">
        <v>4</v>
      </c>
      <c r="B783" t="str">
        <f>"3102"</f>
        <v>3102</v>
      </c>
      <c r="C783" t="str">
        <f>"Fabricação de mobiliário de cozinha"</f>
        <v>Fabricação de mobiliário de cozinha</v>
      </c>
    </row>
    <row r="784" spans="1:3" ht="15">
      <c r="A784">
        <v>5</v>
      </c>
      <c r="B784" t="str">
        <f>"31020"</f>
        <v>31020</v>
      </c>
      <c r="C784" t="str">
        <f>"Fabricação de mobiliário de cozinha"</f>
        <v>Fabricação de mobiliário de cozinha</v>
      </c>
    </row>
    <row r="785" spans="1:3" ht="15">
      <c r="A785">
        <v>4</v>
      </c>
      <c r="B785" t="str">
        <f>"3103"</f>
        <v>3103</v>
      </c>
      <c r="C785" t="str">
        <f>"Fabricação de colchoaria"</f>
        <v>Fabricação de colchoaria</v>
      </c>
    </row>
    <row r="786" spans="1:3" ht="15">
      <c r="A786">
        <v>5</v>
      </c>
      <c r="B786" t="str">
        <f>"31030"</f>
        <v>31030</v>
      </c>
      <c r="C786" t="str">
        <f>"Fabricação de colchoaria"</f>
        <v>Fabricação de colchoaria</v>
      </c>
    </row>
    <row r="787" spans="1:3" ht="15">
      <c r="A787">
        <v>4</v>
      </c>
      <c r="B787" t="str">
        <f>"3109"</f>
        <v>3109</v>
      </c>
      <c r="C787" t="str">
        <f>"Fabricação de mobiliário para outros fins"</f>
        <v>Fabricação de mobiliário para outros fins</v>
      </c>
    </row>
    <row r="788" spans="1:3" ht="15">
      <c r="A788">
        <v>5</v>
      </c>
      <c r="B788" t="str">
        <f>"31091"</f>
        <v>31091</v>
      </c>
      <c r="C788" t="str">
        <f>"Fabricação de mobiliário de madeira para outros fins"</f>
        <v>Fabricação de mobiliário de madeira para outros fins</v>
      </c>
    </row>
    <row r="789" spans="1:3" ht="15">
      <c r="A789">
        <v>5</v>
      </c>
      <c r="B789" t="str">
        <f>"31092"</f>
        <v>31092</v>
      </c>
      <c r="C789" t="str">
        <f>"Fabricação de mobiliário metálico para outros fins"</f>
        <v>Fabricação de mobiliário metálico para outros fins</v>
      </c>
    </row>
    <row r="790" spans="1:3" ht="15">
      <c r="A790">
        <v>5</v>
      </c>
      <c r="B790" t="str">
        <f>"31093"</f>
        <v>31093</v>
      </c>
      <c r="C790" t="str">
        <f>"Fabricação de mobiliário de outros materiais para outros fins"</f>
        <v>Fabricação de mobiliário de outros materiais para outros fins</v>
      </c>
    </row>
    <row r="791" spans="1:3" ht="15">
      <c r="A791">
        <v>5</v>
      </c>
      <c r="B791" t="str">
        <f>"31094"</f>
        <v>31094</v>
      </c>
      <c r="C791" t="str">
        <f>"Actividades de acabamento de mobiliário"</f>
        <v>Actividades de acabamento de mobiliário</v>
      </c>
    </row>
    <row r="792" spans="1:3" ht="15">
      <c r="A792">
        <v>2</v>
      </c>
      <c r="B792" t="str">
        <f>"32"</f>
        <v>32</v>
      </c>
      <c r="C792" t="str">
        <f>"Outras indústrias transformadoras"</f>
        <v>Outras indústrias transformadoras</v>
      </c>
    </row>
    <row r="793" spans="1:3" ht="15">
      <c r="A793">
        <v>3</v>
      </c>
      <c r="B793" t="str">
        <f>"321"</f>
        <v>321</v>
      </c>
      <c r="C793" t="str">
        <f>"Fabricação de joalharia, ourivesaria, bijutaria e artigos similares; cunhagem de moedas"</f>
        <v>Fabricação de joalharia, ourivesaria, bijutaria e artigos similares; cunhagem de moedas</v>
      </c>
    </row>
    <row r="794" spans="1:3" ht="15">
      <c r="A794">
        <v>4</v>
      </c>
      <c r="B794" t="str">
        <f>"3211"</f>
        <v>3211</v>
      </c>
      <c r="C794" t="str">
        <f>"Cunhagem de moedas"</f>
        <v>Cunhagem de moedas</v>
      </c>
    </row>
    <row r="795" spans="1:3" ht="15">
      <c r="A795">
        <v>5</v>
      </c>
      <c r="B795" t="str">
        <f>"32110"</f>
        <v>32110</v>
      </c>
      <c r="C795" t="str">
        <f>"Cunhagem de moedas"</f>
        <v>Cunhagem de moedas</v>
      </c>
    </row>
    <row r="796" spans="1:3" ht="15">
      <c r="A796">
        <v>4</v>
      </c>
      <c r="B796" t="str">
        <f>"3212"</f>
        <v>3212</v>
      </c>
      <c r="C796" t="str">
        <f>"Fabricação de joalharia, ourivesaria e artigos similares"</f>
        <v>Fabricação de joalharia, ourivesaria e artigos similares</v>
      </c>
    </row>
    <row r="797" spans="1:3" ht="15">
      <c r="A797">
        <v>5</v>
      </c>
      <c r="B797" t="str">
        <f>"32121"</f>
        <v>32121</v>
      </c>
      <c r="C797" t="str">
        <f>"Fabricação de filigranas"</f>
        <v>Fabricação de filigranas</v>
      </c>
    </row>
    <row r="798" spans="1:3" ht="15">
      <c r="A798">
        <v>5</v>
      </c>
      <c r="B798" t="str">
        <f>"32122"</f>
        <v>32122</v>
      </c>
      <c r="C798" t="str">
        <f>"Fabricação de artigos de joalharia e de outros artigos de ourivesaria"</f>
        <v>Fabricação de artigos de joalharia e de outros artigos de ourivesaria</v>
      </c>
    </row>
    <row r="799" spans="1:3" ht="15">
      <c r="A799">
        <v>5</v>
      </c>
      <c r="B799" t="str">
        <f>"32123"</f>
        <v>32123</v>
      </c>
      <c r="C799" t="str">
        <f>"Trabalho de diamantes e de outras pedras preciosas ou semi-preciosas para joalharia e uso industrial"</f>
        <v>Trabalho de diamantes e de outras pedras preciosas ou semi-preciosas para joalharia e uso industrial</v>
      </c>
    </row>
    <row r="800" spans="1:3" ht="15">
      <c r="A800">
        <v>4</v>
      </c>
      <c r="B800" t="str">
        <f>"3213"</f>
        <v>3213</v>
      </c>
      <c r="C800" t="str">
        <f>"Fabricação de bijutarias"</f>
        <v>Fabricação de bijutarias</v>
      </c>
    </row>
    <row r="801" spans="1:3" ht="15">
      <c r="A801">
        <v>5</v>
      </c>
      <c r="B801" t="str">
        <f>"32130"</f>
        <v>32130</v>
      </c>
      <c r="C801" t="str">
        <f>"Fabricação de bijutarias"</f>
        <v>Fabricação de bijutarias</v>
      </c>
    </row>
    <row r="802" spans="1:3" ht="15">
      <c r="A802">
        <v>3</v>
      </c>
      <c r="B802" t="str">
        <f>"322"</f>
        <v>322</v>
      </c>
      <c r="C802" t="str">
        <f>"Fabricação de instrumentos musicais"</f>
        <v>Fabricação de instrumentos musicais</v>
      </c>
    </row>
    <row r="803" spans="1:3" ht="15">
      <c r="A803">
        <v>4</v>
      </c>
      <c r="B803" t="str">
        <f>"3220"</f>
        <v>3220</v>
      </c>
      <c r="C803" t="str">
        <f>"Fabricação de instrumentos musicais"</f>
        <v>Fabricação de instrumentos musicais</v>
      </c>
    </row>
    <row r="804" spans="1:3" ht="15">
      <c r="A804">
        <v>5</v>
      </c>
      <c r="B804" t="str">
        <f>"32200"</f>
        <v>32200</v>
      </c>
      <c r="C804" t="str">
        <f>"Fabricação de instrumentos musicais"</f>
        <v>Fabricação de instrumentos musicais</v>
      </c>
    </row>
    <row r="805" spans="1:3" ht="15">
      <c r="A805">
        <v>3</v>
      </c>
      <c r="B805" t="str">
        <f>"323"</f>
        <v>323</v>
      </c>
      <c r="C805" t="str">
        <f>"Fabricação de artigos de desporto"</f>
        <v>Fabricação de artigos de desporto</v>
      </c>
    </row>
    <row r="806" spans="1:3" ht="15">
      <c r="A806">
        <v>4</v>
      </c>
      <c r="B806" t="str">
        <f>"3230"</f>
        <v>3230</v>
      </c>
      <c r="C806" t="str">
        <f>"Fabricação de artigos de desporto"</f>
        <v>Fabricação de artigos de desporto</v>
      </c>
    </row>
    <row r="807" spans="1:3" ht="15">
      <c r="A807">
        <v>5</v>
      </c>
      <c r="B807" t="str">
        <f>"32300"</f>
        <v>32300</v>
      </c>
      <c r="C807" t="str">
        <f>"Fabricação de artigos de desporto"</f>
        <v>Fabricação de artigos de desporto</v>
      </c>
    </row>
    <row r="808" spans="1:3" ht="15">
      <c r="A808">
        <v>3</v>
      </c>
      <c r="B808" t="str">
        <f>"324"</f>
        <v>324</v>
      </c>
      <c r="C808" t="str">
        <f>"Fabricação de jogos e de brinquedos"</f>
        <v>Fabricação de jogos e de brinquedos</v>
      </c>
    </row>
    <row r="809" spans="1:3" ht="15">
      <c r="A809">
        <v>4</v>
      </c>
      <c r="B809" t="str">
        <f>"3240"</f>
        <v>3240</v>
      </c>
      <c r="C809" t="str">
        <f>"Fabricação de jogos e de brinquedos"</f>
        <v>Fabricação de jogos e de brinquedos</v>
      </c>
    </row>
    <row r="810" spans="1:3" ht="15">
      <c r="A810">
        <v>5</v>
      </c>
      <c r="B810" t="str">
        <f>"32400"</f>
        <v>32400</v>
      </c>
      <c r="C810" t="str">
        <f>"Fabricação de jogos e de brinquedos"</f>
        <v>Fabricação de jogos e de brinquedos</v>
      </c>
    </row>
    <row r="811" spans="1:3" ht="15">
      <c r="A811">
        <v>3</v>
      </c>
      <c r="B811" t="str">
        <f>"325"</f>
        <v>325</v>
      </c>
      <c r="C811" t="str">
        <f>"Fabricação de instrumentos e material médico-cirurgico"</f>
        <v>Fabricação de instrumentos e material médico-cirurgico</v>
      </c>
    </row>
    <row r="812" spans="1:3" ht="15">
      <c r="A812">
        <v>4</v>
      </c>
      <c r="B812" t="str">
        <f>"3250"</f>
        <v>3250</v>
      </c>
      <c r="C812" t="str">
        <f>"Fabricação de instrumentos e material médico-cirurgico"</f>
        <v>Fabricação de instrumentos e material médico-cirurgico</v>
      </c>
    </row>
    <row r="813" spans="1:3" ht="15">
      <c r="A813">
        <v>5</v>
      </c>
      <c r="B813" t="str">
        <f>"32501"</f>
        <v>32501</v>
      </c>
      <c r="C813" t="str">
        <f>"Fabricação de material óptico oftálmico"</f>
        <v>Fabricação de material óptico oftálmico</v>
      </c>
    </row>
    <row r="814" spans="1:3" ht="15">
      <c r="A814">
        <v>5</v>
      </c>
      <c r="B814" t="str">
        <f>"32502"</f>
        <v>32502</v>
      </c>
      <c r="C814" t="str">
        <f>"Fabricação de material ortopédico e próteses e de instrumentos médico-cirúrgicos"</f>
        <v>Fabricação de material ortopédico e próteses e de instrumentos médico-cirúrgicos</v>
      </c>
    </row>
    <row r="815" spans="1:3" ht="15">
      <c r="A815">
        <v>3</v>
      </c>
      <c r="B815" t="str">
        <f>"329"</f>
        <v>329</v>
      </c>
      <c r="C815" t="str">
        <f>"Indústrias transformadoras, n.e."</f>
        <v>Indústrias transformadoras, n.e.</v>
      </c>
    </row>
    <row r="816" spans="1:3" ht="15">
      <c r="A816">
        <v>4</v>
      </c>
      <c r="B816" t="str">
        <f>"3291"</f>
        <v>3291</v>
      </c>
      <c r="C816" t="str">
        <f>"Fabricação de vassouras, escovas e pincéis"</f>
        <v>Fabricação de vassouras, escovas e pincéis</v>
      </c>
    </row>
    <row r="817" spans="1:3" ht="15">
      <c r="A817">
        <v>5</v>
      </c>
      <c r="B817" t="str">
        <f>"32910"</f>
        <v>32910</v>
      </c>
      <c r="C817" t="str">
        <f>"Fabricação de vassouras, escovas e pincéis"</f>
        <v>Fabricação de vassouras, escovas e pincéis</v>
      </c>
    </row>
    <row r="818" spans="1:3" ht="15">
      <c r="A818">
        <v>4</v>
      </c>
      <c r="B818" t="str">
        <f>"3299"</f>
        <v>3299</v>
      </c>
      <c r="C818" t="str">
        <f>"Outras indústrias transformadoras, n.e."</f>
        <v>Outras indústrias transformadoras, n.e.</v>
      </c>
    </row>
    <row r="819" spans="1:3" ht="15">
      <c r="A819">
        <v>5</v>
      </c>
      <c r="B819" t="str">
        <f>"32991"</f>
        <v>32991</v>
      </c>
      <c r="C819" t="str">
        <f>"Fabricação de canetas, lápis e similares"</f>
        <v>Fabricação de canetas, lápis e similares</v>
      </c>
    </row>
    <row r="820" spans="1:3" ht="15">
      <c r="A820">
        <v>5</v>
      </c>
      <c r="B820" t="str">
        <f>"32992"</f>
        <v>32992</v>
      </c>
      <c r="C820" t="str">
        <f>"Fabricação de fechos de correr, botões e similares"</f>
        <v>Fabricação de fechos de correr, botões e similares</v>
      </c>
    </row>
    <row r="821" spans="1:3" ht="15">
      <c r="A821">
        <v>5</v>
      </c>
      <c r="B821" t="str">
        <f>"32993"</f>
        <v>32993</v>
      </c>
      <c r="C821" t="str">
        <f>"Fabricação de guarda-sóis e chapéus de chuva"</f>
        <v>Fabricação de guarda-sóis e chapéus de chuva</v>
      </c>
    </row>
    <row r="822" spans="1:3" ht="15">
      <c r="A822">
        <v>5</v>
      </c>
      <c r="B822" t="str">
        <f>"32994"</f>
        <v>32994</v>
      </c>
      <c r="C822" t="str">
        <f>"Fabricação de equipamento de protecção e segurança"</f>
        <v>Fabricação de equipamento de protecção e segurança</v>
      </c>
    </row>
    <row r="823" spans="1:3" ht="15">
      <c r="A823">
        <v>5</v>
      </c>
      <c r="B823" t="str">
        <f>"32995"</f>
        <v>32995</v>
      </c>
      <c r="C823" t="str">
        <f>"Fabricação de caixões mortuários em madeira"</f>
        <v>Fabricação de caixões mortuários em madeira</v>
      </c>
    </row>
    <row r="824" spans="1:3" ht="15">
      <c r="A824">
        <v>5</v>
      </c>
      <c r="B824" t="str">
        <f>"32996"</f>
        <v>32996</v>
      </c>
      <c r="C824" t="str">
        <f>"Outras indústrias transformadoras diversas, n.e."</f>
        <v>Outras indústrias transformadoras diversas, n.e.</v>
      </c>
    </row>
    <row r="825" spans="1:3" ht="15">
      <c r="A825">
        <v>2</v>
      </c>
      <c r="B825" t="str">
        <f>"33"</f>
        <v>33</v>
      </c>
      <c r="C825" t="str">
        <f>"Reparação, manutenção e instalação de máquinas e equipamentos"</f>
        <v>Reparação, manutenção e instalação de máquinas e equipamentos</v>
      </c>
    </row>
    <row r="826" spans="1:3" ht="15">
      <c r="A826">
        <v>3</v>
      </c>
      <c r="B826" t="str">
        <f>"331"</f>
        <v>331</v>
      </c>
      <c r="C826" t="str">
        <f>"Reparação e  manutenção de produtos metálicos, máquinas e equipamentos"</f>
        <v>Reparação e  manutenção de produtos metálicos, máquinas e equipamentos</v>
      </c>
    </row>
    <row r="827" spans="1:3" ht="15">
      <c r="A827">
        <v>4</v>
      </c>
      <c r="B827" t="str">
        <f>"3311"</f>
        <v>3311</v>
      </c>
      <c r="C827" t="str">
        <f>"Reparação e manutenção  de produtos metálicos (excepto máquinas e equipamento)"</f>
        <v>Reparação e manutenção  de produtos metálicos (excepto máquinas e equipamento)</v>
      </c>
    </row>
    <row r="828" spans="1:3" ht="15">
      <c r="A828">
        <v>5</v>
      </c>
      <c r="B828" t="str">
        <f>"33110"</f>
        <v>33110</v>
      </c>
      <c r="C828" t="str">
        <f>"Reparação e manutenção  de produtos metálicos (excepto máquinas e equipamento)"</f>
        <v>Reparação e manutenção  de produtos metálicos (excepto máquinas e equipamento)</v>
      </c>
    </row>
    <row r="829" spans="1:3" ht="15">
      <c r="A829">
        <v>4</v>
      </c>
      <c r="B829" t="str">
        <f>"3312"</f>
        <v>3312</v>
      </c>
      <c r="C829" t="str">
        <f>"Reparação e  manutenção de máquinas e equipamentos"</f>
        <v>Reparação e  manutenção de máquinas e equipamentos</v>
      </c>
    </row>
    <row r="830" spans="1:3" ht="15">
      <c r="A830">
        <v>5</v>
      </c>
      <c r="B830" t="str">
        <f>"33120"</f>
        <v>33120</v>
      </c>
      <c r="C830" t="str">
        <f>"Reparação e  manutenção de máquinas e equipamentos"</f>
        <v>Reparação e  manutenção de máquinas e equipamentos</v>
      </c>
    </row>
    <row r="831" spans="1:3" ht="15">
      <c r="A831">
        <v>4</v>
      </c>
      <c r="B831" t="str">
        <f>"3313"</f>
        <v>3313</v>
      </c>
      <c r="C831" t="str">
        <f>"Reparação e manutenção de equipamento electrónico e óptico"</f>
        <v>Reparação e manutenção de equipamento electrónico e óptico</v>
      </c>
    </row>
    <row r="832" spans="1:3" ht="15">
      <c r="A832">
        <v>5</v>
      </c>
      <c r="B832" t="str">
        <f>"33130"</f>
        <v>33130</v>
      </c>
      <c r="C832" t="str">
        <f>"Reparação e manutenção de equipamento electrónico e óptico"</f>
        <v>Reparação e manutenção de equipamento electrónico e óptico</v>
      </c>
    </row>
    <row r="833" spans="1:3" ht="15">
      <c r="A833">
        <v>4</v>
      </c>
      <c r="B833" t="str">
        <f>"3314"</f>
        <v>3314</v>
      </c>
      <c r="C833" t="str">
        <f>"Reparação e manutenção de equipamento eléctrico"</f>
        <v>Reparação e manutenção de equipamento eléctrico</v>
      </c>
    </row>
    <row r="834" spans="1:3" ht="15">
      <c r="A834">
        <v>5</v>
      </c>
      <c r="B834" t="str">
        <f>"33140"</f>
        <v>33140</v>
      </c>
      <c r="C834" t="str">
        <f>"Reparação e manutenção de equipamento eléctrico"</f>
        <v>Reparação e manutenção de equipamento eléctrico</v>
      </c>
    </row>
    <row r="835" spans="1:3" ht="15">
      <c r="A835">
        <v>4</v>
      </c>
      <c r="B835" t="str">
        <f>"3315"</f>
        <v>3315</v>
      </c>
      <c r="C835" t="str">
        <f>"Reparação e manutenção de embarcações"</f>
        <v>Reparação e manutenção de embarcações</v>
      </c>
    </row>
    <row r="836" spans="1:3" ht="15">
      <c r="A836">
        <v>5</v>
      </c>
      <c r="B836" t="str">
        <f>"33150"</f>
        <v>33150</v>
      </c>
      <c r="C836" t="str">
        <f>"Reparação e manutenção de embarcações"</f>
        <v>Reparação e manutenção de embarcações</v>
      </c>
    </row>
    <row r="837" spans="1:3" ht="15">
      <c r="A837">
        <v>4</v>
      </c>
      <c r="B837" t="str">
        <f>"3316"</f>
        <v>3316</v>
      </c>
      <c r="C837" t="str">
        <f>"Reparação e manutenção de aeronaves e de veículos espaciais"</f>
        <v>Reparação e manutenção de aeronaves e de veículos espaciais</v>
      </c>
    </row>
    <row r="838" spans="1:3" ht="15">
      <c r="A838">
        <v>5</v>
      </c>
      <c r="B838" t="str">
        <f>"33160"</f>
        <v>33160</v>
      </c>
      <c r="C838" t="str">
        <f>"Reparação e manutenção de aeronaves e de veículos espaciais"</f>
        <v>Reparação e manutenção de aeronaves e de veículos espaciais</v>
      </c>
    </row>
    <row r="839" spans="1:3" ht="15">
      <c r="A839">
        <v>4</v>
      </c>
      <c r="B839" t="str">
        <f>"3317"</f>
        <v>3317</v>
      </c>
      <c r="C839" t="str">
        <f>"Reparação e manutenção de outro equipamento de transporte"</f>
        <v>Reparação e manutenção de outro equipamento de transporte</v>
      </c>
    </row>
    <row r="840" spans="1:3" ht="15">
      <c r="A840">
        <v>5</v>
      </c>
      <c r="B840" t="str">
        <f>"33170"</f>
        <v>33170</v>
      </c>
      <c r="C840" t="str">
        <f>"Reparação e manutenção de outro equipamento de transporte"</f>
        <v>Reparação e manutenção de outro equipamento de transporte</v>
      </c>
    </row>
    <row r="841" spans="1:3" ht="15">
      <c r="A841">
        <v>4</v>
      </c>
      <c r="B841" t="str">
        <f>"3319"</f>
        <v>3319</v>
      </c>
      <c r="C841" t="str">
        <f>"Reparação e manutenção de outro equipamento"</f>
        <v>Reparação e manutenção de outro equipamento</v>
      </c>
    </row>
    <row r="842" spans="1:3" ht="15">
      <c r="A842">
        <v>5</v>
      </c>
      <c r="B842" t="str">
        <f>"33190"</f>
        <v>33190</v>
      </c>
      <c r="C842" t="str">
        <f>"Reparação e manutenção de outro equipamento"</f>
        <v>Reparação e manutenção de outro equipamento</v>
      </c>
    </row>
    <row r="843" spans="1:3" ht="15">
      <c r="A843">
        <v>3</v>
      </c>
      <c r="B843" t="str">
        <f>"332"</f>
        <v>332</v>
      </c>
      <c r="C843" t="str">
        <f>"Instalação de máquinas e de equipamentos industriais"</f>
        <v>Instalação de máquinas e de equipamentos industriais</v>
      </c>
    </row>
    <row r="844" spans="1:3" ht="15">
      <c r="A844">
        <v>4</v>
      </c>
      <c r="B844" t="str">
        <f>"3320"</f>
        <v>3320</v>
      </c>
      <c r="C844" t="str">
        <f>"Instalação de máquinas e de equipamentos industriais"</f>
        <v>Instalação de máquinas e de equipamentos industriais</v>
      </c>
    </row>
    <row r="845" spans="1:3" ht="15">
      <c r="A845">
        <v>5</v>
      </c>
      <c r="B845" t="str">
        <f>"33200"</f>
        <v>33200</v>
      </c>
      <c r="C845" t="str">
        <f>"Instalação de máquinas e de equipamentos industriais"</f>
        <v>Instalação de máquinas e de equipamentos industriais</v>
      </c>
    </row>
    <row r="846" spans="1:3" ht="15">
      <c r="A846">
        <v>1</v>
      </c>
      <c r="B846" t="str">
        <f>"D"</f>
        <v>D</v>
      </c>
      <c r="C846" t="str">
        <f>"Electricidade, gás, vapor,  água quente e fria e ar frio"</f>
        <v>Electricidade, gás, vapor,  água quente e fria e ar frio</v>
      </c>
    </row>
    <row r="847" spans="1:3" ht="15">
      <c r="A847">
        <v>2</v>
      </c>
      <c r="B847" t="str">
        <f>"35"</f>
        <v>35</v>
      </c>
      <c r="C847" t="str">
        <f>"Electricidade, gás, vapor,  água quente e fria e ar frio"</f>
        <v>Electricidade, gás, vapor,  água quente e fria e ar frio</v>
      </c>
    </row>
    <row r="848" spans="1:3" ht="15">
      <c r="A848">
        <v>3</v>
      </c>
      <c r="B848" t="str">
        <f>"351"</f>
        <v>351</v>
      </c>
      <c r="C848" t="str">
        <f>"Produção, transporte, distribuição e comércio de electricidade"</f>
        <v>Produção, transporte, distribuição e comércio de electricidade</v>
      </c>
    </row>
    <row r="849" spans="1:3" ht="15">
      <c r="A849">
        <v>4</v>
      </c>
      <c r="B849" t="str">
        <f>"3511"</f>
        <v>3511</v>
      </c>
      <c r="C849" t="str">
        <f>"Produção de electricidade"</f>
        <v>Produção de electricidade</v>
      </c>
    </row>
    <row r="850" spans="1:3" ht="15">
      <c r="A850">
        <v>5</v>
      </c>
      <c r="B850" t="str">
        <f>"35111"</f>
        <v>35111</v>
      </c>
      <c r="C850" t="str">
        <f>"Produção de electricidade de origem hídrica"</f>
        <v>Produção de electricidade de origem hídrica</v>
      </c>
    </row>
    <row r="851" spans="1:3" ht="15">
      <c r="A851">
        <v>5</v>
      </c>
      <c r="B851" t="str">
        <f>"35112"</f>
        <v>35112</v>
      </c>
      <c r="C851" t="str">
        <f>"Produção de electricidade de origem térmica"</f>
        <v>Produção de electricidade de origem térmica</v>
      </c>
    </row>
    <row r="852" spans="1:3" ht="15">
      <c r="A852">
        <v>5</v>
      </c>
      <c r="B852" t="str">
        <f>"35113"</f>
        <v>35113</v>
      </c>
      <c r="C852" t="str">
        <f>"Produção de electricidade de origem eólica, geotérmica, solar e de origem, n.e."</f>
        <v>Produção de electricidade de origem eólica, geotérmica, solar e de origem, n.e.</v>
      </c>
    </row>
    <row r="853" spans="1:3" ht="15">
      <c r="A853">
        <v>4</v>
      </c>
      <c r="B853" t="str">
        <f>"3512"</f>
        <v>3512</v>
      </c>
      <c r="C853" t="str">
        <f>"Transporte de electricidade"</f>
        <v>Transporte de electricidade</v>
      </c>
    </row>
    <row r="854" spans="1:3" ht="15">
      <c r="A854">
        <v>5</v>
      </c>
      <c r="B854" t="str">
        <f>"35120"</f>
        <v>35120</v>
      </c>
      <c r="C854" t="str">
        <f>"Transporte de electricidade "</f>
        <v>Transporte de electricidade </v>
      </c>
    </row>
    <row r="855" spans="1:3" ht="15">
      <c r="A855">
        <v>4</v>
      </c>
      <c r="B855" t="str">
        <f>"3513"</f>
        <v>3513</v>
      </c>
      <c r="C855" t="str">
        <f>"Distribuição de electricidade"</f>
        <v>Distribuição de electricidade</v>
      </c>
    </row>
    <row r="856" spans="1:3" ht="15">
      <c r="A856">
        <v>5</v>
      </c>
      <c r="B856" t="str">
        <f>"35130"</f>
        <v>35130</v>
      </c>
      <c r="C856" t="str">
        <f>"Distribuição de electricidade"</f>
        <v>Distribuição de electricidade</v>
      </c>
    </row>
    <row r="857" spans="1:3" ht="15">
      <c r="A857">
        <v>4</v>
      </c>
      <c r="B857" t="str">
        <f>"3514"</f>
        <v>3514</v>
      </c>
      <c r="C857" t="str">
        <f>"Comércio de electricidade"</f>
        <v>Comércio de electricidade</v>
      </c>
    </row>
    <row r="858" spans="1:3" ht="15">
      <c r="A858">
        <v>5</v>
      </c>
      <c r="B858" t="str">
        <f>"35140"</f>
        <v>35140</v>
      </c>
      <c r="C858" t="str">
        <f>"Comércio de electricidade"</f>
        <v>Comércio de electricidade</v>
      </c>
    </row>
    <row r="859" spans="1:3" ht="15">
      <c r="A859">
        <v>3</v>
      </c>
      <c r="B859" t="str">
        <f>"352"</f>
        <v>352</v>
      </c>
      <c r="C859" t="str">
        <f>"Produção de gás; distribuição de combustíveis gasosos por condutas; comércio de gás por condutas"</f>
        <v>Produção de gás; distribuição de combustíveis gasosos por condutas; comércio de gás por condutas</v>
      </c>
    </row>
    <row r="860" spans="1:3" ht="15">
      <c r="A860">
        <v>4</v>
      </c>
      <c r="B860" t="str">
        <f>"3521"</f>
        <v>3521</v>
      </c>
      <c r="C860" t="str">
        <f>"Produção de gás"</f>
        <v>Produção de gás</v>
      </c>
    </row>
    <row r="861" spans="1:3" ht="15">
      <c r="A861">
        <v>5</v>
      </c>
      <c r="B861" t="str">
        <f>"35210"</f>
        <v>35210</v>
      </c>
      <c r="C861" t="str">
        <f>"Produção de gás"</f>
        <v>Produção de gás</v>
      </c>
    </row>
    <row r="862" spans="1:3" ht="15">
      <c r="A862">
        <v>4</v>
      </c>
      <c r="B862" t="str">
        <f>"3522"</f>
        <v>3522</v>
      </c>
      <c r="C862" t="str">
        <f>"Distribuição de combustíveis gasosos por condutas"</f>
        <v>Distribuição de combustíveis gasosos por condutas</v>
      </c>
    </row>
    <row r="863" spans="1:3" ht="15">
      <c r="A863">
        <v>5</v>
      </c>
      <c r="B863" t="str">
        <f>"35220"</f>
        <v>35220</v>
      </c>
      <c r="C863" t="str">
        <f>"Distribuição de combustíveis gasosos por condutas"</f>
        <v>Distribuição de combustíveis gasosos por condutas</v>
      </c>
    </row>
    <row r="864" spans="1:3" ht="15">
      <c r="A864">
        <v>4</v>
      </c>
      <c r="B864" t="str">
        <f>"3523"</f>
        <v>3523</v>
      </c>
      <c r="C864" t="str">
        <f>"Comércio de gás por condutas"</f>
        <v>Comércio de gás por condutas</v>
      </c>
    </row>
    <row r="865" spans="1:3" ht="15">
      <c r="A865">
        <v>5</v>
      </c>
      <c r="B865" t="str">
        <f>"35230"</f>
        <v>35230</v>
      </c>
      <c r="C865" t="str">
        <f>"Comércio de gás por condutas"</f>
        <v>Comércio de gás por condutas</v>
      </c>
    </row>
    <row r="866" spans="1:3" ht="15">
      <c r="A866">
        <v>3</v>
      </c>
      <c r="B866" t="str">
        <f>"353"</f>
        <v>353</v>
      </c>
      <c r="C866" t="str">
        <f>"Produção e distribuição de vapor,  água quente e fria  e ar frio por conduta; produção de gelo"</f>
        <v>Produção e distribuição de vapor,  água quente e fria  e ar frio por conduta; produção de gelo</v>
      </c>
    </row>
    <row r="867" spans="1:3" ht="15">
      <c r="A867">
        <v>4</v>
      </c>
      <c r="B867" t="str">
        <f>"3530"</f>
        <v>3530</v>
      </c>
      <c r="C867" t="str">
        <f>"Produção e distribuição de vapor,  água quente e fria  e ar frio por conduta; produção de gelo"</f>
        <v>Produção e distribuição de vapor,  água quente e fria  e ar frio por conduta; produção de gelo</v>
      </c>
    </row>
    <row r="868" spans="1:3" ht="15">
      <c r="A868">
        <v>5</v>
      </c>
      <c r="B868" t="str">
        <f>"35301"</f>
        <v>35301</v>
      </c>
      <c r="C868" t="str">
        <f>"Produção e distribuição de vapor,  água quente e fria  e ar frio por conduta"</f>
        <v>Produção e distribuição de vapor,  água quente e fria  e ar frio por conduta</v>
      </c>
    </row>
    <row r="869" spans="1:3" ht="15">
      <c r="A869">
        <v>5</v>
      </c>
      <c r="B869" t="str">
        <f>"35302"</f>
        <v>35302</v>
      </c>
      <c r="C869" t="str">
        <f>"Produção de gelo"</f>
        <v>Produção de gelo</v>
      </c>
    </row>
    <row r="870" spans="1:3" ht="15">
      <c r="A870">
        <v>1</v>
      </c>
      <c r="B870" t="str">
        <f>"E"</f>
        <v>E</v>
      </c>
      <c r="C870" t="str">
        <f>"Captação, tratamento e distribuição de água; saneamento,  gestão de resíduos e despoluição"</f>
        <v>Captação, tratamento e distribuição de água; saneamento,  gestão de resíduos e despoluição</v>
      </c>
    </row>
    <row r="871" spans="1:3" ht="15">
      <c r="A871">
        <v>2</v>
      </c>
      <c r="B871" t="str">
        <f>"36"</f>
        <v>36</v>
      </c>
      <c r="C871" t="str">
        <f>"Captação, tratamento  e distribuição de água"</f>
        <v>Captação, tratamento  e distribuição de água</v>
      </c>
    </row>
    <row r="872" spans="1:3" ht="15">
      <c r="A872">
        <v>3</v>
      </c>
      <c r="B872" t="str">
        <f>"360"</f>
        <v>360</v>
      </c>
      <c r="C872" t="str">
        <f>"Captação, tratamento  e distribuição de água"</f>
        <v>Captação, tratamento  e distribuição de água</v>
      </c>
    </row>
    <row r="873" spans="1:3" ht="15">
      <c r="A873">
        <v>4</v>
      </c>
      <c r="B873" t="str">
        <f>"3600"</f>
        <v>3600</v>
      </c>
      <c r="C873" t="str">
        <f>"Captação, tratamento  e distribuição de água"</f>
        <v>Captação, tratamento  e distribuição de água</v>
      </c>
    </row>
    <row r="874" spans="1:3" ht="15">
      <c r="A874">
        <v>5</v>
      </c>
      <c r="B874" t="str">
        <f>"36001"</f>
        <v>36001</v>
      </c>
      <c r="C874" t="str">
        <f>"Captação e tratamento de água"</f>
        <v>Captação e tratamento de água</v>
      </c>
    </row>
    <row r="875" spans="1:3" ht="15">
      <c r="A875">
        <v>5</v>
      </c>
      <c r="B875" t="str">
        <f>"36002"</f>
        <v>36002</v>
      </c>
      <c r="C875" t="str">
        <f>"Distribuição de água"</f>
        <v>Distribuição de água</v>
      </c>
    </row>
    <row r="876" spans="1:3" ht="15">
      <c r="A876">
        <v>2</v>
      </c>
      <c r="B876" t="str">
        <f>"37"</f>
        <v>37</v>
      </c>
      <c r="C876" t="str">
        <f>"Recolha, drenagem  e tratamento de águas residuais"</f>
        <v>Recolha, drenagem  e tratamento de águas residuais</v>
      </c>
    </row>
    <row r="877" spans="1:3" ht="15">
      <c r="A877">
        <v>3</v>
      </c>
      <c r="B877" t="str">
        <f>"370"</f>
        <v>370</v>
      </c>
      <c r="C877" t="str">
        <f>"Recolha, drenagem  e tratamento de águas residuais"</f>
        <v>Recolha, drenagem  e tratamento de águas residuais</v>
      </c>
    </row>
    <row r="878" spans="1:3" ht="15">
      <c r="A878">
        <v>4</v>
      </c>
      <c r="B878" t="str">
        <f>"3700"</f>
        <v>3700</v>
      </c>
      <c r="C878" t="str">
        <f>"Recolha, drenagem  e tratamento de águas residuais"</f>
        <v>Recolha, drenagem  e tratamento de águas residuais</v>
      </c>
    </row>
    <row r="879" spans="1:3" ht="15">
      <c r="A879">
        <v>5</v>
      </c>
      <c r="B879" t="str">
        <f>"37001"</f>
        <v>37001</v>
      </c>
      <c r="C879" t="str">
        <f>"Recolha e drenagem de águas residuais"</f>
        <v>Recolha e drenagem de águas residuais</v>
      </c>
    </row>
    <row r="880" spans="1:3" ht="15">
      <c r="A880">
        <v>5</v>
      </c>
      <c r="B880" t="str">
        <f>"37002"</f>
        <v>37002</v>
      </c>
      <c r="C880" t="str">
        <f>"Tratamento de águas residuais"</f>
        <v>Tratamento de águas residuais</v>
      </c>
    </row>
    <row r="881" spans="1:3" ht="15">
      <c r="A881">
        <v>2</v>
      </c>
      <c r="B881" t="str">
        <f>"38"</f>
        <v>38</v>
      </c>
      <c r="C881" t="str">
        <f>"Recolha, tratamento e eliminação  de resíduos; valorização de materiais"</f>
        <v>Recolha, tratamento e eliminação  de resíduos; valorização de materiais</v>
      </c>
    </row>
    <row r="882" spans="1:3" ht="15">
      <c r="A882">
        <v>3</v>
      </c>
      <c r="B882" t="str">
        <f>"381"</f>
        <v>381</v>
      </c>
      <c r="C882" t="str">
        <f>"Recolha de resíduos"</f>
        <v>Recolha de resíduos</v>
      </c>
    </row>
    <row r="883" spans="1:3" ht="15">
      <c r="A883">
        <v>4</v>
      </c>
      <c r="B883" t="str">
        <f>"3811"</f>
        <v>3811</v>
      </c>
      <c r="C883" t="str">
        <f>"Recolha de resíduos não perigosos"</f>
        <v>Recolha de resíduos não perigosos</v>
      </c>
    </row>
    <row r="884" spans="1:3" ht="15">
      <c r="A884">
        <v>5</v>
      </c>
      <c r="B884" t="str">
        <f>"38111"</f>
        <v>38111</v>
      </c>
      <c r="C884" t="str">
        <f>"Recolha de resíduos inertes"</f>
        <v>Recolha de resíduos inertes</v>
      </c>
    </row>
    <row r="885" spans="1:3" ht="15">
      <c r="A885">
        <v>5</v>
      </c>
      <c r="B885" t="str">
        <f>"38112"</f>
        <v>38112</v>
      </c>
      <c r="C885" t="str">
        <f>"Recolha de outros resíduos não perigosos"</f>
        <v>Recolha de outros resíduos não perigosos</v>
      </c>
    </row>
    <row r="886" spans="1:3" ht="15">
      <c r="A886">
        <v>4</v>
      </c>
      <c r="B886" t="str">
        <f>"3812"</f>
        <v>3812</v>
      </c>
      <c r="C886" t="str">
        <f>"Recolha de resíduos perigosos"</f>
        <v>Recolha de resíduos perigosos</v>
      </c>
    </row>
    <row r="887" spans="1:3" ht="15">
      <c r="A887">
        <v>5</v>
      </c>
      <c r="B887" t="str">
        <f>"38120"</f>
        <v>38120</v>
      </c>
      <c r="C887" t="str">
        <f>"Recolha de resíduos perigosos"</f>
        <v>Recolha de resíduos perigosos</v>
      </c>
    </row>
    <row r="888" spans="1:3" ht="15">
      <c r="A888">
        <v>3</v>
      </c>
      <c r="B888" t="str">
        <f>"382"</f>
        <v>382</v>
      </c>
      <c r="C888" t="str">
        <f>"Tratamento e eliminação de resíduos"</f>
        <v>Tratamento e eliminação de resíduos</v>
      </c>
    </row>
    <row r="889" spans="1:3" ht="15">
      <c r="A889">
        <v>4</v>
      </c>
      <c r="B889" t="str">
        <f>"3821"</f>
        <v>3821</v>
      </c>
      <c r="C889" t="str">
        <f>"Tratamento e eliminação de resíduos não perigosos"</f>
        <v>Tratamento e eliminação de resíduos não perigosos</v>
      </c>
    </row>
    <row r="890" spans="1:3" ht="15">
      <c r="A890">
        <v>5</v>
      </c>
      <c r="B890" t="str">
        <f>"38211"</f>
        <v>38211</v>
      </c>
      <c r="C890" t="str">
        <f>"Tratamento e eliminação de resíduos inertes"</f>
        <v>Tratamento e eliminação de resíduos inertes</v>
      </c>
    </row>
    <row r="891" spans="1:3" ht="15">
      <c r="A891">
        <v>5</v>
      </c>
      <c r="B891" t="str">
        <f>"38212"</f>
        <v>38212</v>
      </c>
      <c r="C891" t="str">
        <f>"Tratamento e eliminação de outros resíduos não perigosos"</f>
        <v>Tratamento e eliminação de outros resíduos não perigosos</v>
      </c>
    </row>
    <row r="892" spans="1:3" ht="15">
      <c r="A892">
        <v>4</v>
      </c>
      <c r="B892" t="str">
        <f>"3822"</f>
        <v>3822</v>
      </c>
      <c r="C892" t="str">
        <f>"Tratamento e eliminação de resíduos perigosos"</f>
        <v>Tratamento e eliminação de resíduos perigosos</v>
      </c>
    </row>
    <row r="893" spans="1:3" ht="15">
      <c r="A893">
        <v>5</v>
      </c>
      <c r="B893" t="str">
        <f>"38220"</f>
        <v>38220</v>
      </c>
      <c r="C893" t="str">
        <f>"Tratamento e eliminação de resíduos perigosos"</f>
        <v>Tratamento e eliminação de resíduos perigosos</v>
      </c>
    </row>
    <row r="894" spans="1:3" ht="15">
      <c r="A894">
        <v>3</v>
      </c>
      <c r="B894" t="str">
        <f>"383"</f>
        <v>383</v>
      </c>
      <c r="C894" t="str">
        <f>"Valorização de materiais"</f>
        <v>Valorização de materiais</v>
      </c>
    </row>
    <row r="895" spans="1:3" ht="15">
      <c r="A895">
        <v>4</v>
      </c>
      <c r="B895" t="str">
        <f>"3831"</f>
        <v>3831</v>
      </c>
      <c r="C895" t="str">
        <f>"Desmantelamento de equipamentos e bens, em fim de vida"</f>
        <v>Desmantelamento de equipamentos e bens, em fim de vida</v>
      </c>
    </row>
    <row r="896" spans="1:3" ht="15">
      <c r="A896">
        <v>5</v>
      </c>
      <c r="B896" t="str">
        <f>"38311"</f>
        <v>38311</v>
      </c>
      <c r="C896" t="str">
        <f>"Desmantelamento de veículos automóveis, em fim de vida"</f>
        <v>Desmantelamento de veículos automóveis, em fim de vida</v>
      </c>
    </row>
    <row r="897" spans="1:3" ht="15">
      <c r="A897">
        <v>5</v>
      </c>
      <c r="B897" t="str">
        <f>"38312"</f>
        <v>38312</v>
      </c>
      <c r="C897" t="str">
        <f>"Desmantelamento de equipamentos eléctricos e electrónicos, em fim de vida"</f>
        <v>Desmantelamento de equipamentos eléctricos e electrónicos, em fim de vida</v>
      </c>
    </row>
    <row r="898" spans="1:3" ht="15">
      <c r="A898">
        <v>5</v>
      </c>
      <c r="B898" t="str">
        <f>"38313"</f>
        <v>38313</v>
      </c>
      <c r="C898" t="str">
        <f>"Desmantelamento de outros equipamentos e bens, em fim de vida"</f>
        <v>Desmantelamento de outros equipamentos e bens, em fim de vida</v>
      </c>
    </row>
    <row r="899" spans="1:3" ht="15">
      <c r="A899">
        <v>4</v>
      </c>
      <c r="B899" t="str">
        <f>"3832"</f>
        <v>3832</v>
      </c>
      <c r="C899" t="str">
        <f>"Valorização de resíduos seleccionados"</f>
        <v>Valorização de resíduos seleccionados</v>
      </c>
    </row>
    <row r="900" spans="1:3" ht="15">
      <c r="A900">
        <v>5</v>
      </c>
      <c r="B900" t="str">
        <f>"38321"</f>
        <v>38321</v>
      </c>
      <c r="C900" t="str">
        <f>"Valorização de resíduos metálicos"</f>
        <v>Valorização de resíduos metálicos</v>
      </c>
    </row>
    <row r="901" spans="1:3" ht="15">
      <c r="A901">
        <v>5</v>
      </c>
      <c r="B901" t="str">
        <f>"38322"</f>
        <v>38322</v>
      </c>
      <c r="C901" t="str">
        <f>"Valorização de resíduos não metálicos"</f>
        <v>Valorização de resíduos não metálicos</v>
      </c>
    </row>
    <row r="902" spans="1:3" ht="15">
      <c r="A902">
        <v>2</v>
      </c>
      <c r="B902" t="str">
        <f>"39"</f>
        <v>39</v>
      </c>
      <c r="C902" t="str">
        <f>"Descontaminação e actividades similares"</f>
        <v>Descontaminação e actividades similares</v>
      </c>
    </row>
    <row r="903" spans="1:3" ht="15">
      <c r="A903">
        <v>3</v>
      </c>
      <c r="B903" t="str">
        <f>"390"</f>
        <v>390</v>
      </c>
      <c r="C903" t="str">
        <f>"Descontaminação e actividades similares"</f>
        <v>Descontaminação e actividades similares</v>
      </c>
    </row>
    <row r="904" spans="1:3" ht="15">
      <c r="A904">
        <v>4</v>
      </c>
      <c r="B904" t="str">
        <f>"3900"</f>
        <v>3900</v>
      </c>
      <c r="C904" t="str">
        <f>"Descontaminação e actividades similares"</f>
        <v>Descontaminação e actividades similares</v>
      </c>
    </row>
    <row r="905" spans="1:3" ht="15">
      <c r="A905">
        <v>5</v>
      </c>
      <c r="B905" t="str">
        <f>"39000"</f>
        <v>39000</v>
      </c>
      <c r="C905" t="str">
        <f>"Descontaminação e actividades similares"</f>
        <v>Descontaminação e actividades similares</v>
      </c>
    </row>
    <row r="906" spans="1:3" ht="15">
      <c r="A906">
        <v>1</v>
      </c>
      <c r="B906" t="str">
        <f>"F"</f>
        <v>F</v>
      </c>
      <c r="C906" t="str">
        <f>"Construção"</f>
        <v>Construção</v>
      </c>
    </row>
    <row r="907" spans="1:3" ht="15">
      <c r="A907">
        <v>2</v>
      </c>
      <c r="B907" t="str">
        <f>"41"</f>
        <v>41</v>
      </c>
      <c r="C907" t="str">
        <f>"Promoção imobiliária (desenvolvimento de projectos de edifícios); construção de edifícios"</f>
        <v>Promoção imobiliária (desenvolvimento de projectos de edifícios); construção de edifícios</v>
      </c>
    </row>
    <row r="908" spans="1:3" ht="15">
      <c r="A908">
        <v>3</v>
      </c>
      <c r="B908" t="str">
        <f>"411"</f>
        <v>411</v>
      </c>
      <c r="C908" t="str">
        <f>"Promoção imobiliária (desenvolvimento de projectos de edifícios)"</f>
        <v>Promoção imobiliária (desenvolvimento de projectos de edifícios)</v>
      </c>
    </row>
    <row r="909" spans="1:3" ht="15">
      <c r="A909">
        <v>4</v>
      </c>
      <c r="B909" t="str">
        <f>"4110"</f>
        <v>4110</v>
      </c>
      <c r="C909" t="str">
        <f>"Promoção imobiliária (desenvolvimento de projectos de edifícios)"</f>
        <v>Promoção imobiliária (desenvolvimento de projectos de edifícios)</v>
      </c>
    </row>
    <row r="910" spans="1:3" ht="15">
      <c r="A910">
        <v>5</v>
      </c>
      <c r="B910" t="str">
        <f>"41100"</f>
        <v>41100</v>
      </c>
      <c r="C910" t="str">
        <f>"Promoção imobiliária (desenvolvimento de projectos de edifícios)"</f>
        <v>Promoção imobiliária (desenvolvimento de projectos de edifícios)</v>
      </c>
    </row>
    <row r="911" spans="1:3" ht="15">
      <c r="A911">
        <v>3</v>
      </c>
      <c r="B911" t="str">
        <f>"412"</f>
        <v>412</v>
      </c>
      <c r="C911" t="str">
        <f>"Construção de edifícios (residenciais e não residenciais)"</f>
        <v>Construção de edifícios (residenciais e não residenciais)</v>
      </c>
    </row>
    <row r="912" spans="1:3" ht="15">
      <c r="A912">
        <v>4</v>
      </c>
      <c r="B912" t="str">
        <f>"4120"</f>
        <v>4120</v>
      </c>
      <c r="C912" t="str">
        <f>"Construção de edifícios (residenciais e não residenciais)"</f>
        <v>Construção de edifícios (residenciais e não residenciais)</v>
      </c>
    </row>
    <row r="913" spans="1:3" ht="15">
      <c r="A913">
        <v>5</v>
      </c>
      <c r="B913" t="str">
        <f>"41200"</f>
        <v>41200</v>
      </c>
      <c r="C913" t="str">
        <f>"Construção de edifícios (residenciais e não residenciais)"</f>
        <v>Construção de edifícios (residenciais e não residenciais)</v>
      </c>
    </row>
    <row r="914" spans="1:3" ht="15">
      <c r="A914">
        <v>2</v>
      </c>
      <c r="B914" t="str">
        <f>"42"</f>
        <v>42</v>
      </c>
      <c r="C914" t="str">
        <f>"Engenharia civil"</f>
        <v>Engenharia civil</v>
      </c>
    </row>
    <row r="915" spans="1:3" ht="15">
      <c r="A915">
        <v>3</v>
      </c>
      <c r="B915" t="str">
        <f>"421"</f>
        <v>421</v>
      </c>
      <c r="C915" t="str">
        <f>"Construção de  estradas, pontes, túneis, pistas de aeroportos e vias férreas"</f>
        <v>Construção de  estradas, pontes, túneis, pistas de aeroportos e vias férreas</v>
      </c>
    </row>
    <row r="916" spans="1:3" ht="15">
      <c r="A916">
        <v>4</v>
      </c>
      <c r="B916" t="str">
        <f>"4211"</f>
        <v>4211</v>
      </c>
      <c r="C916" t="str">
        <f>"Construção de estradas e pistas de aeroportos"</f>
        <v>Construção de estradas e pistas de aeroportos</v>
      </c>
    </row>
    <row r="917" spans="1:3" ht="15">
      <c r="A917">
        <v>5</v>
      </c>
      <c r="B917" t="str">
        <f>"42110"</f>
        <v>42110</v>
      </c>
      <c r="C917" t="str">
        <f>"Construção de estradas e pistas de aeroportos"</f>
        <v>Construção de estradas e pistas de aeroportos</v>
      </c>
    </row>
    <row r="918" spans="1:3" ht="15">
      <c r="A918">
        <v>4</v>
      </c>
      <c r="B918" t="str">
        <f>"4212"</f>
        <v>4212</v>
      </c>
      <c r="C918" t="str">
        <f>"Construção de vias férreas"</f>
        <v>Construção de vias férreas</v>
      </c>
    </row>
    <row r="919" spans="1:3" ht="15">
      <c r="A919">
        <v>5</v>
      </c>
      <c r="B919" t="str">
        <f>"42120"</f>
        <v>42120</v>
      </c>
      <c r="C919" t="str">
        <f>"Construção de vias férreas"</f>
        <v>Construção de vias férreas</v>
      </c>
    </row>
    <row r="920" spans="1:3" ht="15">
      <c r="A920">
        <v>4</v>
      </c>
      <c r="B920" t="str">
        <f>"4213"</f>
        <v>4213</v>
      </c>
      <c r="C920" t="str">
        <f>"Construção de pontes e túneis"</f>
        <v>Construção de pontes e túneis</v>
      </c>
    </row>
    <row r="921" spans="1:3" ht="15">
      <c r="A921">
        <v>5</v>
      </c>
      <c r="B921" t="str">
        <f>"42130"</f>
        <v>42130</v>
      </c>
      <c r="C921" t="str">
        <f>"Construção de pontes e túneis"</f>
        <v>Construção de pontes e túneis</v>
      </c>
    </row>
    <row r="922" spans="1:3" ht="15">
      <c r="A922">
        <v>3</v>
      </c>
      <c r="B922" t="str">
        <f>"422"</f>
        <v>422</v>
      </c>
      <c r="C922" t="str">
        <f>"Construção de redes de transporte de águas, de esgotos, de distribuição de energia, de telecomunicações  e de outras redes"</f>
        <v>Construção de redes de transporte de águas, de esgotos, de distribuição de energia, de telecomunicações  e de outras redes</v>
      </c>
    </row>
    <row r="923" spans="1:3" ht="15">
      <c r="A923">
        <v>4</v>
      </c>
      <c r="B923" t="str">
        <f>"4221"</f>
        <v>4221</v>
      </c>
      <c r="C923" t="str">
        <f>"Construção de redes de transporte de águas, de esgotos e de outros fluídos"</f>
        <v>Construção de redes de transporte de águas, de esgotos e de outros fluídos</v>
      </c>
    </row>
    <row r="924" spans="1:3" ht="15">
      <c r="A924">
        <v>5</v>
      </c>
      <c r="B924" t="str">
        <f>"42210"</f>
        <v>42210</v>
      </c>
      <c r="C924" t="str">
        <f>"Construção de redes de transporte de águas, de esgotos e de outros fluídos"</f>
        <v>Construção de redes de transporte de águas, de esgotos e de outros fluídos</v>
      </c>
    </row>
    <row r="925" spans="1:3" ht="15">
      <c r="A925">
        <v>4</v>
      </c>
      <c r="B925" t="str">
        <f>"4222"</f>
        <v>4222</v>
      </c>
      <c r="C925" t="str">
        <f>"Construção de redes de transporte e distribuição de electricidade e redes de telecomunicações"</f>
        <v>Construção de redes de transporte e distribuição de electricidade e redes de telecomunicações</v>
      </c>
    </row>
    <row r="926" spans="1:3" ht="15">
      <c r="A926">
        <v>5</v>
      </c>
      <c r="B926" t="str">
        <f>"42220"</f>
        <v>42220</v>
      </c>
      <c r="C926" t="str">
        <f>"Construção de redes de transporte e distribuição de electricidade e redes de telecomunicações"</f>
        <v>Construção de redes de transporte e distribuição de electricidade e redes de telecomunicações</v>
      </c>
    </row>
    <row r="927" spans="1:3" ht="15">
      <c r="A927">
        <v>3</v>
      </c>
      <c r="B927" t="str">
        <f>"429"</f>
        <v>429</v>
      </c>
      <c r="C927" t="str">
        <f>"Construção de outras obras de engenharia civil"</f>
        <v>Construção de outras obras de engenharia civil</v>
      </c>
    </row>
    <row r="928" spans="1:3" ht="15">
      <c r="A928">
        <v>4</v>
      </c>
      <c r="B928" t="str">
        <f>"4291"</f>
        <v>4291</v>
      </c>
      <c r="C928" t="str">
        <f>"Engenharia hidráulica"</f>
        <v>Engenharia hidráulica</v>
      </c>
    </row>
    <row r="929" spans="1:3" ht="15">
      <c r="A929">
        <v>5</v>
      </c>
      <c r="B929" t="str">
        <f>"42910"</f>
        <v>42910</v>
      </c>
      <c r="C929" t="str">
        <f>"Engenharia hidráulica"</f>
        <v>Engenharia hidráulica</v>
      </c>
    </row>
    <row r="930" spans="1:3" ht="15">
      <c r="A930">
        <v>4</v>
      </c>
      <c r="B930" t="str">
        <f>"4299"</f>
        <v>4299</v>
      </c>
      <c r="C930" t="str">
        <f>"Construção de outras obras de engenharia civil, n.e."</f>
        <v>Construção de outras obras de engenharia civil, n.e.</v>
      </c>
    </row>
    <row r="931" spans="1:3" ht="15">
      <c r="A931">
        <v>5</v>
      </c>
      <c r="B931" t="str">
        <f>"42990"</f>
        <v>42990</v>
      </c>
      <c r="C931" t="str">
        <f>"Construção de outras obras de engenharia civil, n.e."</f>
        <v>Construção de outras obras de engenharia civil, n.e.</v>
      </c>
    </row>
    <row r="932" spans="1:3" ht="15">
      <c r="A932">
        <v>2</v>
      </c>
      <c r="B932" t="str">
        <f>"43"</f>
        <v>43</v>
      </c>
      <c r="C932" t="str">
        <f>"Actividades especializadas de construção"</f>
        <v>Actividades especializadas de construção</v>
      </c>
    </row>
    <row r="933" spans="1:3" ht="15">
      <c r="A933">
        <v>3</v>
      </c>
      <c r="B933" t="str">
        <f>"431"</f>
        <v>431</v>
      </c>
      <c r="C933" t="str">
        <f>"Demolição e preparação dos locais de construção"</f>
        <v>Demolição e preparação dos locais de construção</v>
      </c>
    </row>
    <row r="934" spans="1:3" ht="15">
      <c r="A934">
        <v>4</v>
      </c>
      <c r="B934" t="str">
        <f>"4311"</f>
        <v>4311</v>
      </c>
      <c r="C934" t="str">
        <f>"Demolição"</f>
        <v>Demolição</v>
      </c>
    </row>
    <row r="935" spans="1:3" ht="15">
      <c r="A935">
        <v>5</v>
      </c>
      <c r="B935" t="str">
        <f>"43110"</f>
        <v>43110</v>
      </c>
      <c r="C935" t="str">
        <f>"Demolição"</f>
        <v>Demolição</v>
      </c>
    </row>
    <row r="936" spans="1:3" ht="15">
      <c r="A936">
        <v>4</v>
      </c>
      <c r="B936" t="str">
        <f>"4312"</f>
        <v>4312</v>
      </c>
      <c r="C936" t="str">
        <f>"Preparação dos locais de construção"</f>
        <v>Preparação dos locais de construção</v>
      </c>
    </row>
    <row r="937" spans="1:3" ht="15">
      <c r="A937">
        <v>5</v>
      </c>
      <c r="B937" t="str">
        <f>"43120"</f>
        <v>43120</v>
      </c>
      <c r="C937" t="str">
        <f>"Preparação dos locais de construção"</f>
        <v>Preparação dos locais de construção</v>
      </c>
    </row>
    <row r="938" spans="1:3" ht="15">
      <c r="A938">
        <v>4</v>
      </c>
      <c r="B938" t="str">
        <f>"4313"</f>
        <v>4313</v>
      </c>
      <c r="C938" t="str">
        <f>"Perfurações e sondagens"</f>
        <v>Perfurações e sondagens</v>
      </c>
    </row>
    <row r="939" spans="1:3" ht="15">
      <c r="A939">
        <v>5</v>
      </c>
      <c r="B939" t="str">
        <f>"43130"</f>
        <v>43130</v>
      </c>
      <c r="C939" t="str">
        <f>"Perfurações e sondagens"</f>
        <v>Perfurações e sondagens</v>
      </c>
    </row>
    <row r="940" spans="1:3" ht="15">
      <c r="A940">
        <v>3</v>
      </c>
      <c r="B940" t="str">
        <f>"432"</f>
        <v>432</v>
      </c>
      <c r="C940" t="str">
        <f>"Instalação eléctrica, de canalizações, de climatização e outras instalações"</f>
        <v>Instalação eléctrica, de canalizações, de climatização e outras instalações</v>
      </c>
    </row>
    <row r="941" spans="1:3" ht="15">
      <c r="A941">
        <v>4</v>
      </c>
      <c r="B941" t="str">
        <f>"4321"</f>
        <v>4321</v>
      </c>
      <c r="C941" t="str">
        <f>"Instalação eléctrica"</f>
        <v>Instalação eléctrica</v>
      </c>
    </row>
    <row r="942" spans="1:3" ht="15">
      <c r="A942">
        <v>5</v>
      </c>
      <c r="B942" t="str">
        <f>"43210"</f>
        <v>43210</v>
      </c>
      <c r="C942" t="str">
        <f>"Instalação eléctrica"</f>
        <v>Instalação eléctrica</v>
      </c>
    </row>
    <row r="943" spans="1:3" ht="15">
      <c r="A943">
        <v>4</v>
      </c>
      <c r="B943" t="str">
        <f>"4322"</f>
        <v>4322</v>
      </c>
      <c r="C943" t="str">
        <f>"Instalação de canalizações e de climatização"</f>
        <v>Instalação de canalizações e de climatização</v>
      </c>
    </row>
    <row r="944" spans="1:3" ht="15">
      <c r="A944">
        <v>5</v>
      </c>
      <c r="B944" t="str">
        <f>"43221"</f>
        <v>43221</v>
      </c>
      <c r="C944" t="str">
        <f>"Instalação de canalizações"</f>
        <v>Instalação de canalizações</v>
      </c>
    </row>
    <row r="945" spans="1:3" ht="15">
      <c r="A945">
        <v>5</v>
      </c>
      <c r="B945" t="str">
        <f>"43222"</f>
        <v>43222</v>
      </c>
      <c r="C945" t="str">
        <f>"Instalação de climatização"</f>
        <v>Instalação de climatização</v>
      </c>
    </row>
    <row r="946" spans="1:3" ht="15">
      <c r="A946">
        <v>4</v>
      </c>
      <c r="B946" t="str">
        <f>"4329"</f>
        <v>4329</v>
      </c>
      <c r="C946" t="str">
        <f>"Outras instalações em construções"</f>
        <v>Outras instalações em construções</v>
      </c>
    </row>
    <row r="947" spans="1:3" ht="15">
      <c r="A947">
        <v>5</v>
      </c>
      <c r="B947" t="str">
        <f>"43290"</f>
        <v>43290</v>
      </c>
      <c r="C947" t="str">
        <f>"Outras instalações em construções"</f>
        <v>Outras instalações em construções</v>
      </c>
    </row>
    <row r="948" spans="1:3" ht="15">
      <c r="A948">
        <v>3</v>
      </c>
      <c r="B948" t="str">
        <f>"433"</f>
        <v>433</v>
      </c>
      <c r="C948" t="str">
        <f>"Actividades de acabamento em edifícios"</f>
        <v>Actividades de acabamento em edifícios</v>
      </c>
    </row>
    <row r="949" spans="1:3" ht="15">
      <c r="A949">
        <v>4</v>
      </c>
      <c r="B949" t="str">
        <f>"4331"</f>
        <v>4331</v>
      </c>
      <c r="C949" t="str">
        <f>"Estucagem"</f>
        <v>Estucagem</v>
      </c>
    </row>
    <row r="950" spans="1:3" ht="15">
      <c r="A950">
        <v>5</v>
      </c>
      <c r="B950" t="str">
        <f>"43310"</f>
        <v>43310</v>
      </c>
      <c r="C950" t="str">
        <f>"Estucagem"</f>
        <v>Estucagem</v>
      </c>
    </row>
    <row r="951" spans="1:3" ht="15">
      <c r="A951">
        <v>4</v>
      </c>
      <c r="B951" t="str">
        <f>"4332"</f>
        <v>4332</v>
      </c>
      <c r="C951" t="str">
        <f>"Montagem de trabalhos de carpintaria e de caixilharia"</f>
        <v>Montagem de trabalhos de carpintaria e de caixilharia</v>
      </c>
    </row>
    <row r="952" spans="1:3" ht="15">
      <c r="A952">
        <v>5</v>
      </c>
      <c r="B952" t="str">
        <f>"43320"</f>
        <v>43320</v>
      </c>
      <c r="C952" t="str">
        <f>"Montagem de trabalhos de carpintaria e de caixilharia"</f>
        <v>Montagem de trabalhos de carpintaria e de caixilharia</v>
      </c>
    </row>
    <row r="953" spans="1:3" ht="15">
      <c r="A953">
        <v>4</v>
      </c>
      <c r="B953" t="str">
        <f>"4333"</f>
        <v>4333</v>
      </c>
      <c r="C953" t="str">
        <f>"Revestimento de pavimentos e de paredes"</f>
        <v>Revestimento de pavimentos e de paredes</v>
      </c>
    </row>
    <row r="954" spans="1:3" ht="15">
      <c r="A954">
        <v>5</v>
      </c>
      <c r="B954" t="str">
        <f>"43330"</f>
        <v>43330</v>
      </c>
      <c r="C954" t="str">
        <f>"Revestimento de pavimentos e de paredes"</f>
        <v>Revestimento de pavimentos e de paredes</v>
      </c>
    </row>
    <row r="955" spans="1:3" ht="15">
      <c r="A955">
        <v>4</v>
      </c>
      <c r="B955" t="str">
        <f>"4334"</f>
        <v>4334</v>
      </c>
      <c r="C955" t="str">
        <f>"Pintura e colocação de vidros"</f>
        <v>Pintura e colocação de vidros</v>
      </c>
    </row>
    <row r="956" spans="1:3" ht="15">
      <c r="A956">
        <v>5</v>
      </c>
      <c r="B956" t="str">
        <f>"43340"</f>
        <v>43340</v>
      </c>
      <c r="C956" t="str">
        <f>"Pintura e colocação de vidros"</f>
        <v>Pintura e colocação de vidros</v>
      </c>
    </row>
    <row r="957" spans="1:3" ht="15">
      <c r="A957">
        <v>4</v>
      </c>
      <c r="B957" t="str">
        <f>"4339"</f>
        <v>4339</v>
      </c>
      <c r="C957" t="str">
        <f>"Outras actividades de acabamento em edifícios"</f>
        <v>Outras actividades de acabamento em edifícios</v>
      </c>
    </row>
    <row r="958" spans="1:3" ht="15">
      <c r="A958">
        <v>5</v>
      </c>
      <c r="B958" t="str">
        <f>"43390"</f>
        <v>43390</v>
      </c>
      <c r="C958" t="str">
        <f>"Outras actividades de acabamento em edifícios"</f>
        <v>Outras actividades de acabamento em edifícios</v>
      </c>
    </row>
    <row r="959" spans="1:3" ht="15">
      <c r="A959">
        <v>3</v>
      </c>
      <c r="B959" t="str">
        <f>"439"</f>
        <v>439</v>
      </c>
      <c r="C959" t="str">
        <f>"Outras actividades especializadas de construção"</f>
        <v>Outras actividades especializadas de construção</v>
      </c>
    </row>
    <row r="960" spans="1:3" ht="15">
      <c r="A960">
        <v>4</v>
      </c>
      <c r="B960" t="str">
        <f>"4391"</f>
        <v>4391</v>
      </c>
      <c r="C960" t="str">
        <f>"Actividades de colocação de coberturas"</f>
        <v>Actividades de colocação de coberturas</v>
      </c>
    </row>
    <row r="961" spans="1:3" ht="15">
      <c r="A961">
        <v>5</v>
      </c>
      <c r="B961" t="str">
        <f>"43910"</f>
        <v>43910</v>
      </c>
      <c r="C961" t="str">
        <f>"Actividades de colocação de coberturas"</f>
        <v>Actividades de colocação de coberturas</v>
      </c>
    </row>
    <row r="962" spans="1:3" ht="15">
      <c r="A962">
        <v>4</v>
      </c>
      <c r="B962" t="str">
        <f>"4399"</f>
        <v>4399</v>
      </c>
      <c r="C962" t="str">
        <f>"Outras actividades  especializadas de construção, n.e."</f>
        <v>Outras actividades  especializadas de construção, n.e.</v>
      </c>
    </row>
    <row r="963" spans="1:3" ht="15">
      <c r="A963">
        <v>5</v>
      </c>
      <c r="B963" t="str">
        <f>"43991"</f>
        <v>43991</v>
      </c>
      <c r="C963" t="str">
        <f>"Aluguer de equipamento de construção e de demolição, com operador"</f>
        <v>Aluguer de equipamento de construção e de demolição, com operador</v>
      </c>
    </row>
    <row r="964" spans="1:3" ht="15">
      <c r="A964">
        <v>5</v>
      </c>
      <c r="B964" t="str">
        <f>"43992"</f>
        <v>43992</v>
      </c>
      <c r="C964" t="str">
        <f>"Outras actividades  especializadas de construção diversas, n.e."</f>
        <v>Outras actividades  especializadas de construção diversas, n.e.</v>
      </c>
    </row>
    <row r="965" spans="1:3" ht="15">
      <c r="A965">
        <v>1</v>
      </c>
      <c r="B965" t="str">
        <f>"G"</f>
        <v>G</v>
      </c>
      <c r="C965" t="str">
        <f>"Comércio por grosso e a retalho; reparação de veículos automóveis e motociclos"</f>
        <v>Comércio por grosso e a retalho; reparação de veículos automóveis e motociclos</v>
      </c>
    </row>
    <row r="966" spans="1:3" ht="15">
      <c r="A966">
        <v>2</v>
      </c>
      <c r="B966" t="str">
        <f>"45"</f>
        <v>45</v>
      </c>
      <c r="C966" t="str">
        <f>"Comércio, manutenção  e reparação, de veículos automóveis e motociclos"</f>
        <v>Comércio, manutenção  e reparação, de veículos automóveis e motociclos</v>
      </c>
    </row>
    <row r="967" spans="1:3" ht="15">
      <c r="A967">
        <v>3</v>
      </c>
      <c r="B967" t="str">
        <f>"451"</f>
        <v>451</v>
      </c>
      <c r="C967" t="str">
        <f>"Comércio de veículos automóveis"</f>
        <v>Comércio de veículos automóveis</v>
      </c>
    </row>
    <row r="968" spans="1:3" ht="15">
      <c r="A968">
        <v>4</v>
      </c>
      <c r="B968" t="str">
        <f>"4511"</f>
        <v>4511</v>
      </c>
      <c r="C968" t="str">
        <f>"Comércio de veículos automóveis ligeiros"</f>
        <v>Comércio de veículos automóveis ligeiros</v>
      </c>
    </row>
    <row r="969" spans="1:3" ht="15">
      <c r="A969">
        <v>5</v>
      </c>
      <c r="B969" t="str">
        <f>"45110"</f>
        <v>45110</v>
      </c>
      <c r="C969" t="str">
        <f>"Comércio de veículos automóveis ligeiros"</f>
        <v>Comércio de veículos automóveis ligeiros</v>
      </c>
    </row>
    <row r="970" spans="1:3" ht="15">
      <c r="A970">
        <v>4</v>
      </c>
      <c r="B970" t="str">
        <f>"4519"</f>
        <v>4519</v>
      </c>
      <c r="C970" t="str">
        <f>"Comércio de outros veículos automóveis"</f>
        <v>Comércio de outros veículos automóveis</v>
      </c>
    </row>
    <row r="971" spans="1:3" ht="15">
      <c r="A971">
        <v>5</v>
      </c>
      <c r="B971" t="str">
        <f>"45190"</f>
        <v>45190</v>
      </c>
      <c r="C971" t="str">
        <f>"Comércio de outros veículos automóveis"</f>
        <v>Comércio de outros veículos automóveis</v>
      </c>
    </row>
    <row r="972" spans="1:3" ht="15">
      <c r="A972">
        <v>3</v>
      </c>
      <c r="B972" t="str">
        <f>"452"</f>
        <v>452</v>
      </c>
      <c r="C972" t="str">
        <f>"Manutenção e reparação de veículos automóveis"</f>
        <v>Manutenção e reparação de veículos automóveis</v>
      </c>
    </row>
    <row r="973" spans="1:3" ht="15">
      <c r="A973">
        <v>4</v>
      </c>
      <c r="B973" t="str">
        <f>"4520"</f>
        <v>4520</v>
      </c>
      <c r="C973" t="str">
        <f>"Manutenção e reparação de veículos automóveis"</f>
        <v>Manutenção e reparação de veículos automóveis</v>
      </c>
    </row>
    <row r="974" spans="1:3" ht="15">
      <c r="A974">
        <v>5</v>
      </c>
      <c r="B974" t="str">
        <f>"45200"</f>
        <v>45200</v>
      </c>
      <c r="C974" t="str">
        <f>"Manutenção e reparação de veículos automóveis"</f>
        <v>Manutenção e reparação de veículos automóveis</v>
      </c>
    </row>
    <row r="975" spans="1:3" ht="15">
      <c r="A975">
        <v>3</v>
      </c>
      <c r="B975" t="str">
        <f>"453"</f>
        <v>453</v>
      </c>
      <c r="C975" t="str">
        <f>"Comércio de peças e acessórios para veículos automóveis"</f>
        <v>Comércio de peças e acessórios para veículos automóveis</v>
      </c>
    </row>
    <row r="976" spans="1:3" ht="15">
      <c r="A976">
        <v>4</v>
      </c>
      <c r="B976" t="str">
        <f>"4531"</f>
        <v>4531</v>
      </c>
      <c r="C976" t="str">
        <f>"Comércio por grosso de peças e acessórios para veículos automóveis"</f>
        <v>Comércio por grosso de peças e acessórios para veículos automóveis</v>
      </c>
    </row>
    <row r="977" spans="1:3" ht="15">
      <c r="A977">
        <v>5</v>
      </c>
      <c r="B977" t="str">
        <f>"45310"</f>
        <v>45310</v>
      </c>
      <c r="C977" t="str">
        <f>"Comércio por grosso de peças e acessórios para veículos automóveis"</f>
        <v>Comércio por grosso de peças e acessórios para veículos automóveis</v>
      </c>
    </row>
    <row r="978" spans="1:3" ht="15">
      <c r="A978">
        <v>4</v>
      </c>
      <c r="B978" t="str">
        <f>"4532"</f>
        <v>4532</v>
      </c>
      <c r="C978" t="str">
        <f>"Comércio a retalho de peças e acessórios para veículos automóveis"</f>
        <v>Comércio a retalho de peças e acessórios para veículos automóveis</v>
      </c>
    </row>
    <row r="979" spans="1:3" ht="15">
      <c r="A979">
        <v>5</v>
      </c>
      <c r="B979" t="str">
        <f>"45320"</f>
        <v>45320</v>
      </c>
      <c r="C979" t="str">
        <f>"Comércio a retalho de peças e acessórios para veículos automóveis"</f>
        <v>Comércio a retalho de peças e acessórios para veículos automóveis</v>
      </c>
    </row>
    <row r="980" spans="1:3" ht="15">
      <c r="A980">
        <v>3</v>
      </c>
      <c r="B980" t="str">
        <f>"454"</f>
        <v>454</v>
      </c>
      <c r="C980" t="str">
        <f>"Comércio, manutenção e reparação de motociclos, de suas peças e acessórios"</f>
        <v>Comércio, manutenção e reparação de motociclos, de suas peças e acessórios</v>
      </c>
    </row>
    <row r="981" spans="1:3" ht="15">
      <c r="A981">
        <v>4</v>
      </c>
      <c r="B981" t="str">
        <f>"4540"</f>
        <v>4540</v>
      </c>
      <c r="C981" t="str">
        <f>"Comércio, manutenção e reparação de motociclos, de suas peças e acessórios"</f>
        <v>Comércio, manutenção e reparação de motociclos, de suas peças e acessórios</v>
      </c>
    </row>
    <row r="982" spans="1:3" ht="15">
      <c r="A982">
        <v>5</v>
      </c>
      <c r="B982" t="str">
        <f>"45401"</f>
        <v>45401</v>
      </c>
      <c r="C982" t="str">
        <f>"Comércio por grosso e a retalho de motociclos, de suas peças e acessórios"</f>
        <v>Comércio por grosso e a retalho de motociclos, de suas peças e acessórios</v>
      </c>
    </row>
    <row r="983" spans="1:3" ht="15">
      <c r="A983">
        <v>5</v>
      </c>
      <c r="B983" t="str">
        <f>"45402"</f>
        <v>45402</v>
      </c>
      <c r="C983" t="str">
        <f>"Manutenção e reparação de motociclos, de suas peças e acessórios"</f>
        <v>Manutenção e reparação de motociclos, de suas peças e acessórios</v>
      </c>
    </row>
    <row r="984" spans="1:3" ht="15">
      <c r="A984">
        <v>2</v>
      </c>
      <c r="B984" t="str">
        <f>"46"</f>
        <v>46</v>
      </c>
      <c r="C984" t="str">
        <f>"Comércio por grosso (inclui agentes), excepto de veículos automóveis e motociclos"</f>
        <v>Comércio por grosso (inclui agentes), excepto de veículos automóveis e motociclos</v>
      </c>
    </row>
    <row r="985" spans="1:3" ht="15">
      <c r="A985">
        <v>3</v>
      </c>
      <c r="B985" t="str">
        <f>"461"</f>
        <v>461</v>
      </c>
      <c r="C985" t="str">
        <f>"Agentes do comércio por grosso"</f>
        <v>Agentes do comércio por grosso</v>
      </c>
    </row>
    <row r="986" spans="1:3" ht="15">
      <c r="A986">
        <v>4</v>
      </c>
      <c r="B986" t="str">
        <f>"4611"</f>
        <v>4611</v>
      </c>
      <c r="C986" t="str">
        <f>"Agentes do comércio por grosso de matérias-primas agrícolas e têxteis, animais vivos e produtos semi-acabados"</f>
        <v>Agentes do comércio por grosso de matérias-primas agrícolas e têxteis, animais vivos e produtos semi-acabados</v>
      </c>
    </row>
    <row r="987" spans="1:3" ht="15">
      <c r="A987">
        <v>5</v>
      </c>
      <c r="B987" t="str">
        <f>"46110"</f>
        <v>46110</v>
      </c>
      <c r="C987" t="str">
        <f>"Agentes do comércio por grosso de matérias-primas agrícolas e têxteis, animais vivos e produtos semi-acabados"</f>
        <v>Agentes do comércio por grosso de matérias-primas agrícolas e têxteis, animais vivos e produtos semi-acabados</v>
      </c>
    </row>
    <row r="988" spans="1:3" ht="15">
      <c r="A988">
        <v>4</v>
      </c>
      <c r="B988" t="str">
        <f>"4612"</f>
        <v>4612</v>
      </c>
      <c r="C988" t="str">
        <f>"Agentes do comércio por grosso de combustíveis, minérios, metais e de produtos químicos para a indústria"</f>
        <v>Agentes do comércio por grosso de combustíveis, minérios, metais e de produtos químicos para a indústria</v>
      </c>
    </row>
    <row r="989" spans="1:3" ht="15">
      <c r="A989">
        <v>5</v>
      </c>
      <c r="B989" t="str">
        <f>"46120"</f>
        <v>46120</v>
      </c>
      <c r="C989" t="str">
        <f>"Agentes do comércio por grosso de combustíveis, minérios, metais e de produtos químicos para a indústria"</f>
        <v>Agentes do comércio por grosso de combustíveis, minérios, metais e de produtos químicos para a indústria</v>
      </c>
    </row>
    <row r="990" spans="1:3" ht="15">
      <c r="A990">
        <v>4</v>
      </c>
      <c r="B990" t="str">
        <f>"4613"</f>
        <v>4613</v>
      </c>
      <c r="C990" t="str">
        <f>"Agentes do comércio por grosso de madeira e materiais de construção"</f>
        <v>Agentes do comércio por grosso de madeira e materiais de construção</v>
      </c>
    </row>
    <row r="991" spans="1:3" ht="15">
      <c r="A991">
        <v>5</v>
      </c>
      <c r="B991" t="str">
        <f>"46130"</f>
        <v>46130</v>
      </c>
      <c r="C991" t="str">
        <f>"Agentes do comércio por grosso de madeira e materiais de construção"</f>
        <v>Agentes do comércio por grosso de madeira e materiais de construção</v>
      </c>
    </row>
    <row r="992" spans="1:3" ht="15">
      <c r="A992">
        <v>4</v>
      </c>
      <c r="B992" t="str">
        <f>"4614"</f>
        <v>4614</v>
      </c>
      <c r="C992" t="str">
        <f>"Agentes do comércio por grosso de máquinas, equipamento industrial, embarcações e aeronaves"</f>
        <v>Agentes do comércio por grosso de máquinas, equipamento industrial, embarcações e aeronaves</v>
      </c>
    </row>
    <row r="993" spans="1:3" ht="15">
      <c r="A993">
        <v>5</v>
      </c>
      <c r="B993" t="str">
        <f>"46140"</f>
        <v>46140</v>
      </c>
      <c r="C993" t="str">
        <f>"Agentes do comércio por grosso de máquinas, equipamento industrial, embarcações e aeronaves"</f>
        <v>Agentes do comércio por grosso de máquinas, equipamento industrial, embarcações e aeronaves</v>
      </c>
    </row>
    <row r="994" spans="1:3" ht="15">
      <c r="A994">
        <v>4</v>
      </c>
      <c r="B994" t="str">
        <f>"4615"</f>
        <v>4615</v>
      </c>
      <c r="C994" t="str">
        <f>"Agentes do comércio por grosso de mobiliário, artigos para uso doméstico e ferragens"</f>
        <v>Agentes do comércio por grosso de mobiliário, artigos para uso doméstico e ferragens</v>
      </c>
    </row>
    <row r="995" spans="1:3" ht="15">
      <c r="A995">
        <v>5</v>
      </c>
      <c r="B995" t="str">
        <f>"46150"</f>
        <v>46150</v>
      </c>
      <c r="C995" t="str">
        <f>"Agentes do comércio por grosso de mobiliário, artigos para uso doméstico e ferragens"</f>
        <v>Agentes do comércio por grosso de mobiliário, artigos para uso doméstico e ferragens</v>
      </c>
    </row>
    <row r="996" spans="1:3" ht="15">
      <c r="A996">
        <v>4</v>
      </c>
      <c r="B996" t="str">
        <f>"4616"</f>
        <v>4616</v>
      </c>
      <c r="C996" t="str">
        <f>"Agentes do comércio por grosso de têxteis, vestuário, calçado e artigos de couro"</f>
        <v>Agentes do comércio por grosso de têxteis, vestuário, calçado e artigos de couro</v>
      </c>
    </row>
    <row r="997" spans="1:3" ht="15">
      <c r="A997">
        <v>5</v>
      </c>
      <c r="B997" t="str">
        <f>"46160"</f>
        <v>46160</v>
      </c>
      <c r="C997" t="str">
        <f>"Agentes do comércio por grosso de têxteis, vestuário, calçado e artigos de couro"</f>
        <v>Agentes do comércio por grosso de têxteis, vestuário, calçado e artigos de couro</v>
      </c>
    </row>
    <row r="998" spans="1:3" ht="15">
      <c r="A998">
        <v>4</v>
      </c>
      <c r="B998" t="str">
        <f>"4617"</f>
        <v>4617</v>
      </c>
      <c r="C998" t="str">
        <f>"Agentes do comércio por grosso de produtos alimentares, bebidas e tabaco"</f>
        <v>Agentes do comércio por grosso de produtos alimentares, bebidas e tabaco</v>
      </c>
    </row>
    <row r="999" spans="1:3" ht="15">
      <c r="A999">
        <v>5</v>
      </c>
      <c r="B999" t="str">
        <f>"46170"</f>
        <v>46170</v>
      </c>
      <c r="C999" t="str">
        <f>"Agentes do comércio por grosso de produtos alimentares, bebidas e tabaco"</f>
        <v>Agentes do comércio por grosso de produtos alimentares, bebidas e tabaco</v>
      </c>
    </row>
    <row r="1000" spans="1:3" ht="15">
      <c r="A1000">
        <v>4</v>
      </c>
      <c r="B1000" t="str">
        <f>"4618"</f>
        <v>4618</v>
      </c>
      <c r="C1000" t="str">
        <f>"Agentes especializados do comércio por grosso de outros produtos"</f>
        <v>Agentes especializados do comércio por grosso de outros produtos</v>
      </c>
    </row>
    <row r="1001" spans="1:3" ht="15">
      <c r="A1001">
        <v>5</v>
      </c>
      <c r="B1001" t="str">
        <f>"46180"</f>
        <v>46180</v>
      </c>
      <c r="C1001" t="str">
        <f>"Agentes especializados do comércio por grosso de outros produtos"</f>
        <v>Agentes especializados do comércio por grosso de outros produtos</v>
      </c>
    </row>
    <row r="1002" spans="1:3" ht="15">
      <c r="A1002">
        <v>4</v>
      </c>
      <c r="B1002" t="str">
        <f>"4619"</f>
        <v>4619</v>
      </c>
      <c r="C1002" t="str">
        <f>"Agentes do comércio por grosso misto sem predominância"</f>
        <v>Agentes do comércio por grosso misto sem predominância</v>
      </c>
    </row>
    <row r="1003" spans="1:3" ht="15">
      <c r="A1003">
        <v>5</v>
      </c>
      <c r="B1003" t="str">
        <f>"46190"</f>
        <v>46190</v>
      </c>
      <c r="C1003" t="str">
        <f>"Agentes do comércio por grosso misto sem predominância"</f>
        <v>Agentes do comércio por grosso misto sem predominância</v>
      </c>
    </row>
    <row r="1004" spans="1:3" ht="15">
      <c r="A1004">
        <v>3</v>
      </c>
      <c r="B1004" t="str">
        <f>"462"</f>
        <v>462</v>
      </c>
      <c r="C1004" t="str">
        <f>"Comércio por grosso de produtos agrícolas brutos e animais vivos"</f>
        <v>Comércio por grosso de produtos agrícolas brutos e animais vivos</v>
      </c>
    </row>
    <row r="1005" spans="1:3" ht="15">
      <c r="A1005">
        <v>4</v>
      </c>
      <c r="B1005" t="str">
        <f>"4621"</f>
        <v>4621</v>
      </c>
      <c r="C1005" t="str">
        <f>"Comércio por grosso de cereais, tabaco e cortiça em bruto, sementes, outras matérias-primas agrícolas e alimentos para animais"</f>
        <v>Comércio por grosso de cereais, tabaco e cortiça em bruto, sementes, outras matérias-primas agrícolas e alimentos para animais</v>
      </c>
    </row>
    <row r="1006" spans="1:3" ht="15">
      <c r="A1006">
        <v>5</v>
      </c>
      <c r="B1006" t="str">
        <f>"46211"</f>
        <v>46211</v>
      </c>
      <c r="C1006" t="str">
        <f>"Comércio por grosso de alimentos para animais"</f>
        <v>Comércio por grosso de alimentos para animais</v>
      </c>
    </row>
    <row r="1007" spans="1:3" ht="15">
      <c r="A1007">
        <v>5</v>
      </c>
      <c r="B1007" t="str">
        <f>"46212"</f>
        <v>46212</v>
      </c>
      <c r="C1007" t="str">
        <f>"Comércio por grosso de tabaco em bruto"</f>
        <v>Comércio por grosso de tabaco em bruto</v>
      </c>
    </row>
    <row r="1008" spans="1:3" ht="15">
      <c r="A1008">
        <v>5</v>
      </c>
      <c r="B1008" t="str">
        <f>"46213"</f>
        <v>46213</v>
      </c>
      <c r="C1008" t="str">
        <f>"Comércio por grosso de cortiça em bruto"</f>
        <v>Comércio por grosso de cortiça em bruto</v>
      </c>
    </row>
    <row r="1009" spans="1:3" ht="15">
      <c r="A1009">
        <v>5</v>
      </c>
      <c r="B1009" t="str">
        <f>"46214"</f>
        <v>46214</v>
      </c>
      <c r="C1009" t="str">
        <f>"Comércio por grosso de cereais, sementes, leguminosas, oleaginosas e outras matérias-primas agrícolas"</f>
        <v>Comércio por grosso de cereais, sementes, leguminosas, oleaginosas e outras matérias-primas agrícolas</v>
      </c>
    </row>
    <row r="1010" spans="1:3" ht="15">
      <c r="A1010">
        <v>4</v>
      </c>
      <c r="B1010" t="str">
        <f>"4622"</f>
        <v>4622</v>
      </c>
      <c r="C1010" t="str">
        <f>"Comércio por grosso de flores e plantas"</f>
        <v>Comércio por grosso de flores e plantas</v>
      </c>
    </row>
    <row r="1011" spans="1:3" ht="15">
      <c r="A1011">
        <v>5</v>
      </c>
      <c r="B1011" t="str">
        <f>"46220"</f>
        <v>46220</v>
      </c>
      <c r="C1011" t="str">
        <f>"Comércio por grosso de flores e plantas"</f>
        <v>Comércio por grosso de flores e plantas</v>
      </c>
    </row>
    <row r="1012" spans="1:3" ht="15">
      <c r="A1012">
        <v>4</v>
      </c>
      <c r="B1012" t="str">
        <f>"4623"</f>
        <v>4623</v>
      </c>
      <c r="C1012" t="str">
        <f>"Comércio por grosso de animais vivos"</f>
        <v>Comércio por grosso de animais vivos</v>
      </c>
    </row>
    <row r="1013" spans="1:3" ht="15">
      <c r="A1013">
        <v>5</v>
      </c>
      <c r="B1013" t="str">
        <f>"46230"</f>
        <v>46230</v>
      </c>
      <c r="C1013" t="str">
        <f>"Comércio por grosso de animais vivos"</f>
        <v>Comércio por grosso de animais vivos</v>
      </c>
    </row>
    <row r="1014" spans="1:3" ht="15">
      <c r="A1014">
        <v>4</v>
      </c>
      <c r="B1014" t="str">
        <f>"4624"</f>
        <v>4624</v>
      </c>
      <c r="C1014" t="str">
        <f>"Comércio por grosso de peles e couro"</f>
        <v>Comércio por grosso de peles e couro</v>
      </c>
    </row>
    <row r="1015" spans="1:3" ht="15">
      <c r="A1015">
        <v>5</v>
      </c>
      <c r="B1015" t="str">
        <f>"46240"</f>
        <v>46240</v>
      </c>
      <c r="C1015" t="str">
        <f>"Comércio por grosso de peles e couro"</f>
        <v>Comércio por grosso de peles e couro</v>
      </c>
    </row>
    <row r="1016" spans="1:3" ht="15">
      <c r="A1016">
        <v>3</v>
      </c>
      <c r="B1016" t="str">
        <f>"463"</f>
        <v>463</v>
      </c>
      <c r="C1016" t="str">
        <f>"Comércio por grosso de produtos alimentares, bebidas e tabaco"</f>
        <v>Comércio por grosso de produtos alimentares, bebidas e tabaco</v>
      </c>
    </row>
    <row r="1017" spans="1:3" ht="15">
      <c r="A1017">
        <v>4</v>
      </c>
      <c r="B1017" t="str">
        <f>"4631"</f>
        <v>4631</v>
      </c>
      <c r="C1017" t="str">
        <f>"Comércio por grosso de fruta e de produtos hortícolas"</f>
        <v>Comércio por grosso de fruta e de produtos hortícolas</v>
      </c>
    </row>
    <row r="1018" spans="1:3" ht="15">
      <c r="A1018">
        <v>5</v>
      </c>
      <c r="B1018" t="str">
        <f>"46311"</f>
        <v>46311</v>
      </c>
      <c r="C1018" t="str">
        <f>"Comércio por grosso de fruta e de produtos hortícolas, excepto batata"</f>
        <v>Comércio por grosso de fruta e de produtos hortícolas, excepto batata</v>
      </c>
    </row>
    <row r="1019" spans="1:3" ht="15">
      <c r="A1019">
        <v>5</v>
      </c>
      <c r="B1019" t="str">
        <f>"46312"</f>
        <v>46312</v>
      </c>
      <c r="C1019" t="str">
        <f>"Comércio por grosso de batata"</f>
        <v>Comércio por grosso de batata</v>
      </c>
    </row>
    <row r="1020" spans="1:3" ht="15">
      <c r="A1020">
        <v>4</v>
      </c>
      <c r="B1020" t="str">
        <f>"4632"</f>
        <v>4632</v>
      </c>
      <c r="C1020" t="str">
        <f>"Comércio por grosso de carne e produtos à base de carne"</f>
        <v>Comércio por grosso de carne e produtos à base de carne</v>
      </c>
    </row>
    <row r="1021" spans="1:3" ht="15">
      <c r="A1021">
        <v>5</v>
      </c>
      <c r="B1021" t="str">
        <f>"46320"</f>
        <v>46320</v>
      </c>
      <c r="C1021" t="str">
        <f>"Comércio por grosso de carne e produtos à base de carne"</f>
        <v>Comércio por grosso de carne e produtos à base de carne</v>
      </c>
    </row>
    <row r="1022" spans="1:3" ht="15">
      <c r="A1022">
        <v>4</v>
      </c>
      <c r="B1022" t="str">
        <f>"4633"</f>
        <v>4633</v>
      </c>
      <c r="C1022" t="str">
        <f>"Comércio por grosso de leite e derivados, ovos, azeite, óleos e gorduras alimentares"</f>
        <v>Comércio por grosso de leite e derivados, ovos, azeite, óleos e gorduras alimentares</v>
      </c>
    </row>
    <row r="1023" spans="1:3" ht="15">
      <c r="A1023">
        <v>5</v>
      </c>
      <c r="B1023" t="str">
        <f>"46331"</f>
        <v>46331</v>
      </c>
      <c r="C1023" t="str">
        <f>"Comércio por grosso de leite, seus derivados e ovos"</f>
        <v>Comércio por grosso de leite, seus derivados e ovos</v>
      </c>
    </row>
    <row r="1024" spans="1:3" ht="15">
      <c r="A1024">
        <v>5</v>
      </c>
      <c r="B1024" t="str">
        <f>"46332"</f>
        <v>46332</v>
      </c>
      <c r="C1024" t="str">
        <f>"Comércio por grosso de azeite, óleos e gorduras alimentares"</f>
        <v>Comércio por grosso de azeite, óleos e gorduras alimentares</v>
      </c>
    </row>
    <row r="1025" spans="1:3" ht="15">
      <c r="A1025">
        <v>4</v>
      </c>
      <c r="B1025" t="str">
        <f>"4634"</f>
        <v>4634</v>
      </c>
      <c r="C1025" t="str">
        <f>"Comércio por grosso de bebidas"</f>
        <v>Comércio por grosso de bebidas</v>
      </c>
    </row>
    <row r="1026" spans="1:3" ht="15">
      <c r="A1026">
        <v>5</v>
      </c>
      <c r="B1026" t="str">
        <f>"46341"</f>
        <v>46341</v>
      </c>
      <c r="C1026" t="str">
        <f>"Comércio por grosso de bebidas alcoólicas"</f>
        <v>Comércio por grosso de bebidas alcoólicas</v>
      </c>
    </row>
    <row r="1027" spans="1:3" ht="15">
      <c r="A1027">
        <v>5</v>
      </c>
      <c r="B1027" t="str">
        <f>"46342"</f>
        <v>46342</v>
      </c>
      <c r="C1027" t="str">
        <f>"Comércio por grosso de bebidas não alcoólicas"</f>
        <v>Comércio por grosso de bebidas não alcoólicas</v>
      </c>
    </row>
    <row r="1028" spans="1:3" ht="15">
      <c r="A1028">
        <v>4</v>
      </c>
      <c r="B1028" t="str">
        <f>"4635"</f>
        <v>4635</v>
      </c>
      <c r="C1028" t="str">
        <f>"Comércio por grosso de tabaco"</f>
        <v>Comércio por grosso de tabaco</v>
      </c>
    </row>
    <row r="1029" spans="1:3" ht="15">
      <c r="A1029">
        <v>5</v>
      </c>
      <c r="B1029" t="str">
        <f>"46350"</f>
        <v>46350</v>
      </c>
      <c r="C1029" t="str">
        <f>"Comércio por grosso de tabaco"</f>
        <v>Comércio por grosso de tabaco</v>
      </c>
    </row>
    <row r="1030" spans="1:3" ht="15">
      <c r="A1030">
        <v>4</v>
      </c>
      <c r="B1030" t="str">
        <f>"4636"</f>
        <v>4636</v>
      </c>
      <c r="C1030" t="str">
        <f>"Comércio por grosso de açúcar, chocolate e produtos de confeitaria"</f>
        <v>Comércio por grosso de açúcar, chocolate e produtos de confeitaria</v>
      </c>
    </row>
    <row r="1031" spans="1:3" ht="15">
      <c r="A1031">
        <v>5</v>
      </c>
      <c r="B1031" t="str">
        <f>"46361"</f>
        <v>46361</v>
      </c>
      <c r="C1031" t="str">
        <f>"Comércio por grosso de açúcar"</f>
        <v>Comércio por grosso de açúcar</v>
      </c>
    </row>
    <row r="1032" spans="1:3" ht="15">
      <c r="A1032">
        <v>5</v>
      </c>
      <c r="B1032" t="str">
        <f>"46362"</f>
        <v>46362</v>
      </c>
      <c r="C1032" t="str">
        <f>"Comércio por grosso de chocolate e de produtos de confeitaria"</f>
        <v>Comércio por grosso de chocolate e de produtos de confeitaria</v>
      </c>
    </row>
    <row r="1033" spans="1:3" ht="15">
      <c r="A1033">
        <v>4</v>
      </c>
      <c r="B1033" t="str">
        <f>"4637"</f>
        <v>4637</v>
      </c>
      <c r="C1033" t="str">
        <f>"Comércio por grosso de café, chá, cacau e especiarias"</f>
        <v>Comércio por grosso de café, chá, cacau e especiarias</v>
      </c>
    </row>
    <row r="1034" spans="1:3" ht="15">
      <c r="A1034">
        <v>5</v>
      </c>
      <c r="B1034" t="str">
        <f>"46370"</f>
        <v>46370</v>
      </c>
      <c r="C1034" t="str">
        <f>"Comércio por grosso de café, chá, cacau e especiarias"</f>
        <v>Comércio por grosso de café, chá, cacau e especiarias</v>
      </c>
    </row>
    <row r="1035" spans="1:3" ht="15">
      <c r="A1035">
        <v>4</v>
      </c>
      <c r="B1035" t="str">
        <f>"4638"</f>
        <v>4638</v>
      </c>
      <c r="C1035" t="str">
        <f>"Comércio por grosso de outros produtos alimentares"</f>
        <v>Comércio por grosso de outros produtos alimentares</v>
      </c>
    </row>
    <row r="1036" spans="1:3" ht="15">
      <c r="A1036">
        <v>5</v>
      </c>
      <c r="B1036" t="str">
        <f>"46381"</f>
        <v>46381</v>
      </c>
      <c r="C1036" t="str">
        <f>"Comércio por grosso de peixe, crustáceos e moluscos"</f>
        <v>Comércio por grosso de peixe, crustáceos e moluscos</v>
      </c>
    </row>
    <row r="1037" spans="1:3" ht="15">
      <c r="A1037">
        <v>5</v>
      </c>
      <c r="B1037" t="str">
        <f>"46382"</f>
        <v>46382</v>
      </c>
      <c r="C1037" t="str">
        <f>"Comércio por grosso de outros produtos alimentares, n.e."</f>
        <v>Comércio por grosso de outros produtos alimentares, n.e.</v>
      </c>
    </row>
    <row r="1038" spans="1:3" ht="15">
      <c r="A1038">
        <v>4</v>
      </c>
      <c r="B1038" t="str">
        <f>"4639"</f>
        <v>4639</v>
      </c>
      <c r="C1038" t="str">
        <f>"Comércio por grosso não especializado de produtos alimentares, bebidas e tabaco"</f>
        <v>Comércio por grosso não especializado de produtos alimentares, bebidas e tabaco</v>
      </c>
    </row>
    <row r="1039" spans="1:3" ht="15">
      <c r="A1039">
        <v>5</v>
      </c>
      <c r="B1039" t="str">
        <f>"46390"</f>
        <v>46390</v>
      </c>
      <c r="C1039" t="str">
        <f>"Comércio por grosso não especializado de produtos alimentares, bebidas e tabaco"</f>
        <v>Comércio por grosso não especializado de produtos alimentares, bebidas e tabaco</v>
      </c>
    </row>
    <row r="1040" spans="1:3" ht="15">
      <c r="A1040">
        <v>3</v>
      </c>
      <c r="B1040" t="str">
        <f>"464"</f>
        <v>464</v>
      </c>
      <c r="C1040" t="str">
        <f>"Comércio por grosso de bens de consumo, excepto alimentares, bebidas e tabaco"</f>
        <v>Comércio por grosso de bens de consumo, excepto alimentares, bebidas e tabaco</v>
      </c>
    </row>
    <row r="1041" spans="1:3" ht="15">
      <c r="A1041">
        <v>4</v>
      </c>
      <c r="B1041" t="str">
        <f>"4641"</f>
        <v>4641</v>
      </c>
      <c r="C1041" t="str">
        <f>"Comércio por grosso de têxteis"</f>
        <v>Comércio por grosso de têxteis</v>
      </c>
    </row>
    <row r="1042" spans="1:3" ht="15">
      <c r="A1042">
        <v>5</v>
      </c>
      <c r="B1042" t="str">
        <f>"46410"</f>
        <v>46410</v>
      </c>
      <c r="C1042" t="str">
        <f>"Comércio por grosso de têxteis"</f>
        <v>Comércio por grosso de têxteis</v>
      </c>
    </row>
    <row r="1043" spans="1:3" ht="15">
      <c r="A1043">
        <v>4</v>
      </c>
      <c r="B1043" t="str">
        <f>"4642"</f>
        <v>4642</v>
      </c>
      <c r="C1043" t="str">
        <f>"Comércio por grosso de vestuário e calçado"</f>
        <v>Comércio por grosso de vestuário e calçado</v>
      </c>
    </row>
    <row r="1044" spans="1:3" ht="15">
      <c r="A1044">
        <v>5</v>
      </c>
      <c r="B1044" t="str">
        <f>"46421"</f>
        <v>46421</v>
      </c>
      <c r="C1044" t="str">
        <f>"Comércio por grosso de vestuário e de acessórios"</f>
        <v>Comércio por grosso de vestuário e de acessórios</v>
      </c>
    </row>
    <row r="1045" spans="1:3" ht="15">
      <c r="A1045">
        <v>5</v>
      </c>
      <c r="B1045" t="str">
        <f>"46422"</f>
        <v>46422</v>
      </c>
      <c r="C1045" t="str">
        <f>"Comércio por grosso de calçado"</f>
        <v>Comércio por grosso de calçado</v>
      </c>
    </row>
    <row r="1046" spans="1:3" ht="15">
      <c r="A1046">
        <v>4</v>
      </c>
      <c r="B1046" t="str">
        <f>"4643"</f>
        <v>4643</v>
      </c>
      <c r="C1046" t="str">
        <f>"Comércio por grosso de electrodomésticos, aparelhos de rádio e de televisão"</f>
        <v>Comércio por grosso de electrodomésticos, aparelhos de rádio e de televisão</v>
      </c>
    </row>
    <row r="1047" spans="1:3" ht="15">
      <c r="A1047">
        <v>5</v>
      </c>
      <c r="B1047" t="str">
        <f>"46430"</f>
        <v>46430</v>
      </c>
      <c r="C1047" t="str">
        <f>"Comércio por grosso de electrodomésticos, aparelhos de rádio e de televisão"</f>
        <v>Comércio por grosso de electrodomésticos, aparelhos de rádio e de televisão</v>
      </c>
    </row>
    <row r="1048" spans="1:3" ht="15">
      <c r="A1048">
        <v>4</v>
      </c>
      <c r="B1048" t="str">
        <f>"4644"</f>
        <v>4644</v>
      </c>
      <c r="C1048" t="str">
        <f>"Comércio por grosso de louças em cerâmica e em vidro e produtos de limpeza"</f>
        <v>Comércio por grosso de louças em cerâmica e em vidro e produtos de limpeza</v>
      </c>
    </row>
    <row r="1049" spans="1:3" ht="15">
      <c r="A1049">
        <v>5</v>
      </c>
      <c r="B1049" t="str">
        <f>"46441"</f>
        <v>46441</v>
      </c>
      <c r="C1049" t="str">
        <f>"Comércio por grosso de louças em cerâmica e em vidro"</f>
        <v>Comércio por grosso de louças em cerâmica e em vidro</v>
      </c>
    </row>
    <row r="1050" spans="1:3" ht="15">
      <c r="A1050">
        <v>5</v>
      </c>
      <c r="B1050" t="str">
        <f>"46442"</f>
        <v>46442</v>
      </c>
      <c r="C1050" t="str">
        <f>"Comércio por grosso de produtos de limpeza"</f>
        <v>Comércio por grosso de produtos de limpeza</v>
      </c>
    </row>
    <row r="1051" spans="1:3" ht="15">
      <c r="A1051">
        <v>4</v>
      </c>
      <c r="B1051" t="str">
        <f>"4645"</f>
        <v>4645</v>
      </c>
      <c r="C1051" t="str">
        <f>"Comércio por grosso de perfumes e de produtos de higiene"</f>
        <v>Comércio por grosso de perfumes e de produtos de higiene</v>
      </c>
    </row>
    <row r="1052" spans="1:3" ht="15">
      <c r="A1052">
        <v>5</v>
      </c>
      <c r="B1052" t="str">
        <f>"46450"</f>
        <v>46450</v>
      </c>
      <c r="C1052" t="str">
        <f>"Comércio por grosso de perfumes e de produtos de higiene"</f>
        <v>Comércio por grosso de perfumes e de produtos de higiene</v>
      </c>
    </row>
    <row r="1053" spans="1:3" ht="15">
      <c r="A1053">
        <v>4</v>
      </c>
      <c r="B1053" t="str">
        <f>"4646"</f>
        <v>4646</v>
      </c>
      <c r="C1053" t="str">
        <f>"Comércio por grosso de produtos farmacêuticos"</f>
        <v>Comércio por grosso de produtos farmacêuticos</v>
      </c>
    </row>
    <row r="1054" spans="1:3" ht="15">
      <c r="A1054">
        <v>5</v>
      </c>
      <c r="B1054" t="str">
        <f>"46460"</f>
        <v>46460</v>
      </c>
      <c r="C1054" t="str">
        <f>"Comércio por grosso de produtos farmacêuticos"</f>
        <v>Comércio por grosso de produtos farmacêuticos</v>
      </c>
    </row>
    <row r="1055" spans="1:3" ht="15">
      <c r="A1055">
        <v>4</v>
      </c>
      <c r="B1055" t="str">
        <f>"4647"</f>
        <v>4647</v>
      </c>
      <c r="C1055" t="str">
        <f>"Comércio por grosso de móveis para uso doméstico, carpetes,  tapetes  e artigos de iluminação"</f>
        <v>Comércio por grosso de móveis para uso doméstico, carpetes,  tapetes  e artigos de iluminação</v>
      </c>
    </row>
    <row r="1056" spans="1:3" ht="15">
      <c r="A1056">
        <v>5</v>
      </c>
      <c r="B1056" t="str">
        <f>"46470"</f>
        <v>46470</v>
      </c>
      <c r="C1056" t="str">
        <f>"Comércio por grosso de móveis para uso doméstico, carpetes,  tapetes  e artigos de iluminação"</f>
        <v>Comércio por grosso de móveis para uso doméstico, carpetes,  tapetes  e artigos de iluminação</v>
      </c>
    </row>
    <row r="1057" spans="1:3" ht="15">
      <c r="A1057">
        <v>4</v>
      </c>
      <c r="B1057" t="str">
        <f>"4648"</f>
        <v>4648</v>
      </c>
      <c r="C1057" t="str">
        <f>"Comércio por grosso de relógios e de artigos de ourivesaria e joalharia"</f>
        <v>Comércio por grosso de relógios e de artigos de ourivesaria e joalharia</v>
      </c>
    </row>
    <row r="1058" spans="1:3" ht="15">
      <c r="A1058">
        <v>5</v>
      </c>
      <c r="B1058" t="str">
        <f>"46480"</f>
        <v>46480</v>
      </c>
      <c r="C1058" t="str">
        <f>"Comércio por grosso de relógios e de artigos de ourivesaria e joalharia"</f>
        <v>Comércio por grosso de relógios e de artigos de ourivesaria e joalharia</v>
      </c>
    </row>
    <row r="1059" spans="1:3" ht="15">
      <c r="A1059">
        <v>4</v>
      </c>
      <c r="B1059" t="str">
        <f>"4649"</f>
        <v>4649</v>
      </c>
      <c r="C1059" t="str">
        <f>"Outro comércio por grosso de bens de consumo"</f>
        <v>Outro comércio por grosso de bens de consumo</v>
      </c>
    </row>
    <row r="1060" spans="1:3" ht="15">
      <c r="A1060">
        <v>5</v>
      </c>
      <c r="B1060" t="str">
        <f>"46491"</f>
        <v>46491</v>
      </c>
      <c r="C1060" t="str">
        <f>"Comércio por grosso de artigos de papelaria"</f>
        <v>Comércio por grosso de artigos de papelaria</v>
      </c>
    </row>
    <row r="1061" spans="1:3" ht="15">
      <c r="A1061">
        <v>5</v>
      </c>
      <c r="B1061" t="str">
        <f>"46492"</f>
        <v>46492</v>
      </c>
      <c r="C1061" t="str">
        <f>"Comércio por grosso de livros, revistas e jornais"</f>
        <v>Comércio por grosso de livros, revistas e jornais</v>
      </c>
    </row>
    <row r="1062" spans="1:3" ht="15">
      <c r="A1062">
        <v>5</v>
      </c>
      <c r="B1062" t="str">
        <f>"46493"</f>
        <v>46493</v>
      </c>
      <c r="C1062" t="str">
        <f>"Comércio por grosso de brinquedos, jogos e artigos de desporto"</f>
        <v>Comércio por grosso de brinquedos, jogos e artigos de desporto</v>
      </c>
    </row>
    <row r="1063" spans="1:3" ht="15">
      <c r="A1063">
        <v>5</v>
      </c>
      <c r="B1063" t="str">
        <f>"46494"</f>
        <v>46494</v>
      </c>
      <c r="C1063" t="str">
        <f>"Outro comércio por grosso de bens de consumo, n.e."</f>
        <v>Outro comércio por grosso de bens de consumo, n.e.</v>
      </c>
    </row>
    <row r="1064" spans="1:3" ht="15">
      <c r="A1064">
        <v>3</v>
      </c>
      <c r="B1064" t="str">
        <f>"465"</f>
        <v>465</v>
      </c>
      <c r="C1064" t="str">
        <f>"Comércio por grosso de equipamento das tecnologias  de informação e comunicação ( TIC)"</f>
        <v>Comércio por grosso de equipamento das tecnologias  de informação e comunicação ( TIC)</v>
      </c>
    </row>
    <row r="1065" spans="1:3" ht="15">
      <c r="A1065">
        <v>4</v>
      </c>
      <c r="B1065" t="str">
        <f>"4651"</f>
        <v>4651</v>
      </c>
      <c r="C1065" t="str">
        <f>"Comércio por grosso de computadores, equipamentos periféricos e programas informáticos"</f>
        <v>Comércio por grosso de computadores, equipamentos periféricos e programas informáticos</v>
      </c>
    </row>
    <row r="1066" spans="1:3" ht="15">
      <c r="A1066">
        <v>5</v>
      </c>
      <c r="B1066" t="str">
        <f>"46510"</f>
        <v>46510</v>
      </c>
      <c r="C1066" t="str">
        <f>"Comércio por grosso de computadores, equipamentos periféricos e programas informáticos"</f>
        <v>Comércio por grosso de computadores, equipamentos periféricos e programas informáticos</v>
      </c>
    </row>
    <row r="1067" spans="1:3" ht="15">
      <c r="A1067">
        <v>4</v>
      </c>
      <c r="B1067" t="str">
        <f>"4652"</f>
        <v>4652</v>
      </c>
      <c r="C1067" t="str">
        <f>"Comércio por grosso de  equipamentos  electrónicos,  de telecomunicações e suas partes"</f>
        <v>Comércio por grosso de  equipamentos  electrónicos,  de telecomunicações e suas partes</v>
      </c>
    </row>
    <row r="1068" spans="1:3" ht="15">
      <c r="A1068">
        <v>5</v>
      </c>
      <c r="B1068" t="str">
        <f>"46520"</f>
        <v>46520</v>
      </c>
      <c r="C1068" t="str">
        <f>"Comércio por grosso de  equipamentos  electrónicos,  de telecomunicações e suas partes"</f>
        <v>Comércio por grosso de  equipamentos  electrónicos,  de telecomunicações e suas partes</v>
      </c>
    </row>
    <row r="1069" spans="1:3" ht="15">
      <c r="A1069">
        <v>3</v>
      </c>
      <c r="B1069" t="str">
        <f>"466"</f>
        <v>466</v>
      </c>
      <c r="C1069" t="str">
        <f>"Comércio por grosso de outras máquinas, equipamentos e suas partes"</f>
        <v>Comércio por grosso de outras máquinas, equipamentos e suas partes</v>
      </c>
    </row>
    <row r="1070" spans="1:3" ht="15">
      <c r="A1070">
        <v>4</v>
      </c>
      <c r="B1070" t="str">
        <f>"4661"</f>
        <v>4661</v>
      </c>
      <c r="C1070" t="str">
        <f>"Comércio por grosso de máquinas e equipamentos, agrícolas"</f>
        <v>Comércio por grosso de máquinas e equipamentos, agrícolas</v>
      </c>
    </row>
    <row r="1071" spans="1:3" ht="15">
      <c r="A1071">
        <v>5</v>
      </c>
      <c r="B1071" t="str">
        <f>"46610"</f>
        <v>46610</v>
      </c>
      <c r="C1071" t="str">
        <f>"Comércio por grosso de máquinas e equipamentos, agrícolas"</f>
        <v>Comércio por grosso de máquinas e equipamentos, agrícolas</v>
      </c>
    </row>
    <row r="1072" spans="1:3" ht="15">
      <c r="A1072">
        <v>4</v>
      </c>
      <c r="B1072" t="str">
        <f>"4662"</f>
        <v>4662</v>
      </c>
      <c r="C1072" t="str">
        <f>"Comércio por grosso de máquinas-ferramentas"</f>
        <v>Comércio por grosso de máquinas-ferramentas</v>
      </c>
    </row>
    <row r="1073" spans="1:3" ht="15">
      <c r="A1073">
        <v>5</v>
      </c>
      <c r="B1073" t="str">
        <f>"46620"</f>
        <v>46620</v>
      </c>
      <c r="C1073" t="str">
        <f>"Comércio por grosso de máquinas-ferramentas"</f>
        <v>Comércio por grosso de máquinas-ferramentas</v>
      </c>
    </row>
    <row r="1074" spans="1:3" ht="15">
      <c r="A1074">
        <v>4</v>
      </c>
      <c r="B1074" t="str">
        <f>"4663"</f>
        <v>4663</v>
      </c>
      <c r="C1074" t="str">
        <f>"Comércio por grosso de máquinas para a indústria extractiva, construção e engenharia civil"</f>
        <v>Comércio por grosso de máquinas para a indústria extractiva, construção e engenharia civil</v>
      </c>
    </row>
    <row r="1075" spans="1:3" ht="15">
      <c r="A1075">
        <v>5</v>
      </c>
      <c r="B1075" t="str">
        <f>"46630"</f>
        <v>46630</v>
      </c>
      <c r="C1075" t="str">
        <f>"Comércio por grosso de máquinas para a indústria extractiva, construção e engenharia civil"</f>
        <v>Comércio por grosso de máquinas para a indústria extractiva, construção e engenharia civil</v>
      </c>
    </row>
    <row r="1076" spans="1:3" ht="15">
      <c r="A1076">
        <v>4</v>
      </c>
      <c r="B1076" t="str">
        <f>"4664"</f>
        <v>4664</v>
      </c>
      <c r="C1076" t="str">
        <f>"Comércio por grosso de máquinas para a indústria têxtil, máquinas de costura e de tricotar"</f>
        <v>Comércio por grosso de máquinas para a indústria têxtil, máquinas de costura e de tricotar</v>
      </c>
    </row>
    <row r="1077" spans="1:3" ht="15">
      <c r="A1077">
        <v>5</v>
      </c>
      <c r="B1077" t="str">
        <f>"46640"</f>
        <v>46640</v>
      </c>
      <c r="C1077" t="str">
        <f>"Comércio por grosso de máquinas para a indústria têxtil, máquinas de costura e de tricotar"</f>
        <v>Comércio por grosso de máquinas para a indústria têxtil, máquinas de costura e de tricotar</v>
      </c>
    </row>
    <row r="1078" spans="1:3" ht="15">
      <c r="A1078">
        <v>4</v>
      </c>
      <c r="B1078" t="str">
        <f>"4665"</f>
        <v>4665</v>
      </c>
      <c r="C1078" t="str">
        <f>"Comércio por grosso de mobiliário de escritório"</f>
        <v>Comércio por grosso de mobiliário de escritório</v>
      </c>
    </row>
    <row r="1079" spans="1:3" ht="15">
      <c r="A1079">
        <v>5</v>
      </c>
      <c r="B1079" t="str">
        <f>"46650"</f>
        <v>46650</v>
      </c>
      <c r="C1079" t="str">
        <f>"Comércio por grosso de mobiliário de escritório"</f>
        <v>Comércio por grosso de mobiliário de escritório</v>
      </c>
    </row>
    <row r="1080" spans="1:3" ht="15">
      <c r="A1080">
        <v>4</v>
      </c>
      <c r="B1080" t="str">
        <f>"4666"</f>
        <v>4666</v>
      </c>
      <c r="C1080" t="str">
        <f>"Comércio por grosso de outras máquinas e material de escritório"</f>
        <v>Comércio por grosso de outras máquinas e material de escritório</v>
      </c>
    </row>
    <row r="1081" spans="1:3" ht="15">
      <c r="A1081">
        <v>5</v>
      </c>
      <c r="B1081" t="str">
        <f>"46660"</f>
        <v>46660</v>
      </c>
      <c r="C1081" t="str">
        <f>"Comércio por grosso de outras máquinas e material de escritório"</f>
        <v>Comércio por grosso de outras máquinas e material de escritório</v>
      </c>
    </row>
    <row r="1082" spans="1:3" ht="15">
      <c r="A1082">
        <v>4</v>
      </c>
      <c r="B1082" t="str">
        <f>"4669"</f>
        <v>4669</v>
      </c>
      <c r="C1082" t="str">
        <f>"Comércio por grosso de outras máquinas e equipamentos"</f>
        <v>Comércio por grosso de outras máquinas e equipamentos</v>
      </c>
    </row>
    <row r="1083" spans="1:3" ht="15">
      <c r="A1083">
        <v>5</v>
      </c>
      <c r="B1083" t="str">
        <f>"46690"</f>
        <v>46690</v>
      </c>
      <c r="C1083" t="str">
        <f>"Comércio por grosso de outras máquinas e equipamentos"</f>
        <v>Comércio por grosso de outras máquinas e equipamentos</v>
      </c>
    </row>
    <row r="1084" spans="1:3" ht="15">
      <c r="A1084">
        <v>3</v>
      </c>
      <c r="B1084" t="str">
        <f>"467"</f>
        <v>467</v>
      </c>
      <c r="C1084" t="str">
        <f>"Comércio por grosso de combustíveis, metais, materiais de construção, ferragens e outros produtos n.e."</f>
        <v>Comércio por grosso de combustíveis, metais, materiais de construção, ferragens e outros produtos n.e.</v>
      </c>
    </row>
    <row r="1085" spans="1:3" ht="15">
      <c r="A1085">
        <v>4</v>
      </c>
      <c r="B1085" t="str">
        <f>"4671"</f>
        <v>4671</v>
      </c>
      <c r="C1085" t="str">
        <f>"Comércio por grosso de combustíveis sólidos, líquidos,  gasosos e produtos derivados"</f>
        <v>Comércio por grosso de combustíveis sólidos, líquidos,  gasosos e produtos derivados</v>
      </c>
    </row>
    <row r="1086" spans="1:3" ht="15">
      <c r="A1086">
        <v>5</v>
      </c>
      <c r="B1086" t="str">
        <f>"46711"</f>
        <v>46711</v>
      </c>
      <c r="C1086" t="str">
        <f>"Comércio por grosso de produtos petrolíferos"</f>
        <v>Comércio por grosso de produtos petrolíferos</v>
      </c>
    </row>
    <row r="1087" spans="1:3" ht="15">
      <c r="A1087">
        <v>5</v>
      </c>
      <c r="B1087" t="str">
        <f>"46712"</f>
        <v>46712</v>
      </c>
      <c r="C1087" t="str">
        <f>"Comércio por grosso de combustíveis sólidos, líquidos e gasosos, não derivados do petróleo"</f>
        <v>Comércio por grosso de combustíveis sólidos, líquidos e gasosos, não derivados do petróleo</v>
      </c>
    </row>
    <row r="1088" spans="1:3" ht="15">
      <c r="A1088">
        <v>4</v>
      </c>
      <c r="B1088" t="str">
        <f>"4672"</f>
        <v>4672</v>
      </c>
      <c r="C1088" t="str">
        <f>"Comércio por grosso de minérios e de metais"</f>
        <v>Comércio por grosso de minérios e de metais</v>
      </c>
    </row>
    <row r="1089" spans="1:3" ht="15">
      <c r="A1089">
        <v>5</v>
      </c>
      <c r="B1089" t="str">
        <f>"46720"</f>
        <v>46720</v>
      </c>
      <c r="C1089" t="str">
        <f>"Comércio por grosso de minérios e de metais"</f>
        <v>Comércio por grosso de minérios e de metais</v>
      </c>
    </row>
    <row r="1090" spans="1:3" ht="15">
      <c r="A1090">
        <v>4</v>
      </c>
      <c r="B1090" t="str">
        <f>"4673"</f>
        <v>4673</v>
      </c>
      <c r="C1090" t="str">
        <f>"Comércio por grosso de madeira, de materiais de construção e equipamento sanitário"</f>
        <v>Comércio por grosso de madeira, de materiais de construção e equipamento sanitário</v>
      </c>
    </row>
    <row r="1091" spans="1:3" ht="15">
      <c r="A1091">
        <v>5</v>
      </c>
      <c r="B1091" t="str">
        <f>"46731"</f>
        <v>46731</v>
      </c>
      <c r="C1091" t="str">
        <f>"Comércio por grosso de madeira em bruto e de produtos derivados"</f>
        <v>Comércio por grosso de madeira em bruto e de produtos derivados</v>
      </c>
    </row>
    <row r="1092" spans="1:3" ht="15">
      <c r="A1092">
        <v>5</v>
      </c>
      <c r="B1092" t="str">
        <f>"46732"</f>
        <v>46732</v>
      </c>
      <c r="C1092" t="str">
        <f>"Comércio por grosso de materiais de construção (excepto madeira) e equipamento sanitário"</f>
        <v>Comércio por grosso de materiais de construção (excepto madeira) e equipamento sanitário</v>
      </c>
    </row>
    <row r="1093" spans="1:3" ht="15">
      <c r="A1093">
        <v>4</v>
      </c>
      <c r="B1093" t="str">
        <f>"4674"</f>
        <v>4674</v>
      </c>
      <c r="C1093" t="str">
        <f>"Comércio por grosso de ferragens, ferramentas manuais e artigos para canalizações e aquecimento"</f>
        <v>Comércio por grosso de ferragens, ferramentas manuais e artigos para canalizações e aquecimento</v>
      </c>
    </row>
    <row r="1094" spans="1:3" ht="15">
      <c r="A1094">
        <v>5</v>
      </c>
      <c r="B1094" t="str">
        <f>"46740"</f>
        <v>46740</v>
      </c>
      <c r="C1094" t="str">
        <f>"Comércio por grosso de ferragens, ferramentas manuais e artigos para canalizações e aquecimento"</f>
        <v>Comércio por grosso de ferragens, ferramentas manuais e artigos para canalizações e aquecimento</v>
      </c>
    </row>
    <row r="1095" spans="1:3" ht="15">
      <c r="A1095">
        <v>4</v>
      </c>
      <c r="B1095" t="str">
        <f>"4675"</f>
        <v>4675</v>
      </c>
      <c r="C1095" t="str">
        <f>"Comércio por grosso de produtos químicos"</f>
        <v>Comércio por grosso de produtos químicos</v>
      </c>
    </row>
    <row r="1096" spans="1:3" ht="15">
      <c r="A1096">
        <v>5</v>
      </c>
      <c r="B1096" t="str">
        <f>"46750"</f>
        <v>46750</v>
      </c>
      <c r="C1096" t="str">
        <f>"Comércio por grosso de produtos químicos"</f>
        <v>Comércio por grosso de produtos químicos</v>
      </c>
    </row>
    <row r="1097" spans="1:3" ht="15">
      <c r="A1097">
        <v>4</v>
      </c>
      <c r="B1097" t="str">
        <f>"4676"</f>
        <v>4676</v>
      </c>
      <c r="C1097" t="str">
        <f>"Comércio por grosso de outros bens intermédios"</f>
        <v>Comércio por grosso de outros bens intermédios</v>
      </c>
    </row>
    <row r="1098" spans="1:3" ht="15">
      <c r="A1098">
        <v>5</v>
      </c>
      <c r="B1098" t="str">
        <f>"46761"</f>
        <v>46761</v>
      </c>
      <c r="C1098" t="str">
        <f>"Comércio por grosso de fibras têxteis naturais, artificiais e sintéticas"</f>
        <v>Comércio por grosso de fibras têxteis naturais, artificiais e sintéticas</v>
      </c>
    </row>
    <row r="1099" spans="1:3" ht="15">
      <c r="A1099">
        <v>5</v>
      </c>
      <c r="B1099" t="str">
        <f>"46762"</f>
        <v>46762</v>
      </c>
      <c r="C1099" t="str">
        <f>"Comércio por grosso de outros bens intermédios, n.e."</f>
        <v>Comércio por grosso de outros bens intermédios, n.e.</v>
      </c>
    </row>
    <row r="1100" spans="1:3" ht="15">
      <c r="A1100">
        <v>4</v>
      </c>
      <c r="B1100" t="str">
        <f>"4677"</f>
        <v>4677</v>
      </c>
      <c r="C1100" t="str">
        <f>"Comércio por grosso de desperdícios e sucata"</f>
        <v>Comércio por grosso de desperdícios e sucata</v>
      </c>
    </row>
    <row r="1101" spans="1:3" ht="15">
      <c r="A1101">
        <v>5</v>
      </c>
      <c r="B1101" t="str">
        <f>"46771"</f>
        <v>46771</v>
      </c>
      <c r="C1101" t="str">
        <f>"Comércio por grosso de sucatas e de desperdícios metálicos"</f>
        <v>Comércio por grosso de sucatas e de desperdícios metálicos</v>
      </c>
    </row>
    <row r="1102" spans="1:3" ht="15">
      <c r="A1102">
        <v>5</v>
      </c>
      <c r="B1102" t="str">
        <f>"46772"</f>
        <v>46772</v>
      </c>
      <c r="C1102" t="str">
        <f>"Comércio por grosso de desperdícios têxteis, de cartão e papéis velhos"</f>
        <v>Comércio por grosso de desperdícios têxteis, de cartão e papéis velhos</v>
      </c>
    </row>
    <row r="1103" spans="1:3" ht="15">
      <c r="A1103">
        <v>5</v>
      </c>
      <c r="B1103" t="str">
        <f>"46773"</f>
        <v>46773</v>
      </c>
      <c r="C1103" t="str">
        <f>"Comércio por grosso de desperdícios de materiais, n.e."</f>
        <v>Comércio por grosso de desperdícios de materiais, n.e.</v>
      </c>
    </row>
    <row r="1104" spans="1:3" ht="15">
      <c r="A1104">
        <v>3</v>
      </c>
      <c r="B1104" t="str">
        <f>"469"</f>
        <v>469</v>
      </c>
      <c r="C1104" t="str">
        <f>"Comércio por grosso não especializado"</f>
        <v>Comércio por grosso não especializado</v>
      </c>
    </row>
    <row r="1105" spans="1:3" ht="15">
      <c r="A1105">
        <v>4</v>
      </c>
      <c r="B1105" t="str">
        <f>"4690"</f>
        <v>4690</v>
      </c>
      <c r="C1105" t="str">
        <f>"Comércio por grosso não especializado"</f>
        <v>Comércio por grosso não especializado</v>
      </c>
    </row>
    <row r="1106" spans="1:3" ht="15">
      <c r="A1106">
        <v>5</v>
      </c>
      <c r="B1106" t="str">
        <f>"46900"</f>
        <v>46900</v>
      </c>
      <c r="C1106" t="str">
        <f>"Comércio por grosso não especializado"</f>
        <v>Comércio por grosso não especializado</v>
      </c>
    </row>
    <row r="1107" spans="1:3" ht="15">
      <c r="A1107">
        <v>2</v>
      </c>
      <c r="B1107" t="str">
        <f>"47"</f>
        <v>47</v>
      </c>
      <c r="C1107" t="str">
        <f>"Comércio a retalho, excepto de veículos automóveis e motociclos"</f>
        <v>Comércio a retalho, excepto de veículos automóveis e motociclos</v>
      </c>
    </row>
    <row r="1108" spans="1:3" ht="15">
      <c r="A1108">
        <v>3</v>
      </c>
      <c r="B1108" t="str">
        <f>"471"</f>
        <v>471</v>
      </c>
      <c r="C1108" t="str">
        <f>"Comércio a retalho em estabelecimentos não especializados"</f>
        <v>Comércio a retalho em estabelecimentos não especializados</v>
      </c>
    </row>
    <row r="1109" spans="1:3" ht="15">
      <c r="A1109">
        <v>4</v>
      </c>
      <c r="B1109" t="str">
        <f>"4711"</f>
        <v>4711</v>
      </c>
      <c r="C1109" t="str">
        <f>"Comércio a retalho em estabelecimentos não especializados, com predominância de produtos alimentares, bebidas ou tabaco"</f>
        <v>Comércio a retalho em estabelecimentos não especializados, com predominância de produtos alimentares, bebidas ou tabaco</v>
      </c>
    </row>
    <row r="1110" spans="1:3" ht="15">
      <c r="A1110">
        <v>5</v>
      </c>
      <c r="B1110" t="str">
        <f>"47111"</f>
        <v>47111</v>
      </c>
      <c r="C1110" t="str">
        <f>"Comércio a retalho em supermercados e hipermercados"</f>
        <v>Comércio a retalho em supermercados e hipermercados</v>
      </c>
    </row>
    <row r="1111" spans="1:3" ht="15">
      <c r="A1111">
        <v>5</v>
      </c>
      <c r="B1111" t="str">
        <f>"47112"</f>
        <v>47112</v>
      </c>
      <c r="C1111" t="str">
        <f>"Comércio a retalho em outros estabelecimentos não especializados, com predominância de produtos alimentares, bebidas ou tabaco"</f>
        <v>Comércio a retalho em outros estabelecimentos não especializados, com predominância de produtos alimentares, bebidas ou tabaco</v>
      </c>
    </row>
    <row r="1112" spans="1:3" ht="15">
      <c r="A1112">
        <v>4</v>
      </c>
      <c r="B1112" t="str">
        <f>"4719"</f>
        <v>4719</v>
      </c>
      <c r="C1112" t="str">
        <f>"Comércio a retalho em estabelecimentos não especializados, sem predominância de produtos alimentares, bebidas ou tabaco"</f>
        <v>Comércio a retalho em estabelecimentos não especializados, sem predominância de produtos alimentares, bebidas ou tabaco</v>
      </c>
    </row>
    <row r="1113" spans="1:3" ht="15">
      <c r="A1113">
        <v>5</v>
      </c>
      <c r="B1113" t="str">
        <f>"47191"</f>
        <v>47191</v>
      </c>
      <c r="C1113" t="str">
        <f>"Comércio a retalho não especializado, sem predominância de produtos alimentares, bebidas ou tabaco, em grandes armazéns e similares"</f>
        <v>Comércio a retalho não especializado, sem predominância de produtos alimentares, bebidas ou tabaco, em grandes armazéns e similares</v>
      </c>
    </row>
    <row r="1114" spans="1:3" ht="15">
      <c r="A1114">
        <v>5</v>
      </c>
      <c r="B1114" t="str">
        <f>"47192"</f>
        <v>47192</v>
      </c>
      <c r="C1114" t="str">
        <f>"Comércio a retalho em  outros estabelecimentos não especializados, sem predominância de produtos alimentares, bebidas ou tabaco"</f>
        <v>Comércio a retalho em  outros estabelecimentos não especializados, sem predominância de produtos alimentares, bebidas ou tabaco</v>
      </c>
    </row>
    <row r="1115" spans="1:3" ht="15">
      <c r="A1115">
        <v>3</v>
      </c>
      <c r="B1115" t="str">
        <f>"472"</f>
        <v>472</v>
      </c>
      <c r="C1115" t="str">
        <f>"Comércio a retalho de produtos alimentares, bebidas e tabaco, em estabelecimentos especializados"</f>
        <v>Comércio a retalho de produtos alimentares, bebidas e tabaco, em estabelecimentos especializados</v>
      </c>
    </row>
    <row r="1116" spans="1:3" ht="15">
      <c r="A1116">
        <v>4</v>
      </c>
      <c r="B1116" t="str">
        <f>"4721"</f>
        <v>4721</v>
      </c>
      <c r="C1116" t="str">
        <f>"Comércio a retalho de frutas e produtos hortícolas, em estabelecimentos especializados"</f>
        <v>Comércio a retalho de frutas e produtos hortícolas, em estabelecimentos especializados</v>
      </c>
    </row>
    <row r="1117" spans="1:3" ht="15">
      <c r="A1117">
        <v>5</v>
      </c>
      <c r="B1117" t="str">
        <f>"47210"</f>
        <v>47210</v>
      </c>
      <c r="C1117" t="str">
        <f>"Comércio a retalho de frutas e produtos hortícolas, em estabelecimentos especializados"</f>
        <v>Comércio a retalho de frutas e produtos hortícolas, em estabelecimentos especializados</v>
      </c>
    </row>
    <row r="1118" spans="1:3" ht="15">
      <c r="A1118">
        <v>4</v>
      </c>
      <c r="B1118" t="str">
        <f>"4722"</f>
        <v>4722</v>
      </c>
      <c r="C1118" t="str">
        <f>"Comércio a retalho de carne e produtos à base de carne, em estabelecimentos especializados"</f>
        <v>Comércio a retalho de carne e produtos à base de carne, em estabelecimentos especializados</v>
      </c>
    </row>
    <row r="1119" spans="1:3" ht="15">
      <c r="A1119">
        <v>5</v>
      </c>
      <c r="B1119" t="str">
        <f>"47220"</f>
        <v>47220</v>
      </c>
      <c r="C1119" t="str">
        <f>"Comércio a retalho de carne e produtos à base de carne, em estabelecimentos especializados"</f>
        <v>Comércio a retalho de carne e produtos à base de carne, em estabelecimentos especializados</v>
      </c>
    </row>
    <row r="1120" spans="1:3" ht="15">
      <c r="A1120">
        <v>4</v>
      </c>
      <c r="B1120" t="str">
        <f>"4723"</f>
        <v>4723</v>
      </c>
      <c r="C1120" t="str">
        <f>"Comércio a retalho de peixe, crustáceos e moluscos, em estabelecimentos especializados"</f>
        <v>Comércio a retalho de peixe, crustáceos e moluscos, em estabelecimentos especializados</v>
      </c>
    </row>
    <row r="1121" spans="1:3" ht="15">
      <c r="A1121">
        <v>5</v>
      </c>
      <c r="B1121" t="str">
        <f>"47230"</f>
        <v>47230</v>
      </c>
      <c r="C1121" t="str">
        <f>"Comércio a retalho de peixe, crustáceos e moluscos, em estabelecimentos especializados"</f>
        <v>Comércio a retalho de peixe, crustáceos e moluscos, em estabelecimentos especializados</v>
      </c>
    </row>
    <row r="1122" spans="1:3" ht="15">
      <c r="A1122">
        <v>4</v>
      </c>
      <c r="B1122" t="str">
        <f>"4724"</f>
        <v>4724</v>
      </c>
      <c r="C1122" t="str">
        <f>"Comércio a retalho de pão, de produtos de pastelaria e de confeitaria, em estabelecimentos especializados"</f>
        <v>Comércio a retalho de pão, de produtos de pastelaria e de confeitaria, em estabelecimentos especializados</v>
      </c>
    </row>
    <row r="1123" spans="1:3" ht="15">
      <c r="A1123">
        <v>5</v>
      </c>
      <c r="B1123" t="str">
        <f>"47240"</f>
        <v>47240</v>
      </c>
      <c r="C1123" t="str">
        <f>"Comércio a retalho de pão, de produtos de pastelaria e de confeitaria, em estabelecimentos especializados"</f>
        <v>Comércio a retalho de pão, de produtos de pastelaria e de confeitaria, em estabelecimentos especializados</v>
      </c>
    </row>
    <row r="1124" spans="1:3" ht="15">
      <c r="A1124">
        <v>4</v>
      </c>
      <c r="B1124" t="str">
        <f>"4725"</f>
        <v>4725</v>
      </c>
      <c r="C1124" t="str">
        <f>"Comércio a retalho de bebidas, em estabelecimentos especializados"</f>
        <v>Comércio a retalho de bebidas, em estabelecimentos especializados</v>
      </c>
    </row>
    <row r="1125" spans="1:3" ht="15">
      <c r="A1125">
        <v>5</v>
      </c>
      <c r="B1125" t="str">
        <f>"47250"</f>
        <v>47250</v>
      </c>
      <c r="C1125" t="str">
        <f>"Comércio a retalho de bebidas, em estabelecimentos especializados"</f>
        <v>Comércio a retalho de bebidas, em estabelecimentos especializados</v>
      </c>
    </row>
    <row r="1126" spans="1:3" ht="15">
      <c r="A1126">
        <v>4</v>
      </c>
      <c r="B1126" t="str">
        <f>"4726"</f>
        <v>4726</v>
      </c>
      <c r="C1126" t="str">
        <f>"Comércio a retalho de tabaco, em estabelecimentos especializados"</f>
        <v>Comércio a retalho de tabaco, em estabelecimentos especializados</v>
      </c>
    </row>
    <row r="1127" spans="1:3" ht="15">
      <c r="A1127">
        <v>5</v>
      </c>
      <c r="B1127" t="str">
        <f>"47260"</f>
        <v>47260</v>
      </c>
      <c r="C1127" t="str">
        <f>"Comércio a retalho de tabaco, em estabelecimentos especializados"</f>
        <v>Comércio a retalho de tabaco, em estabelecimentos especializados</v>
      </c>
    </row>
    <row r="1128" spans="1:3" ht="15">
      <c r="A1128">
        <v>4</v>
      </c>
      <c r="B1128" t="str">
        <f>"4729"</f>
        <v>4729</v>
      </c>
      <c r="C1128" t="str">
        <f>"Comércio a retalho de outros produtos alimentares, em estabelecimentos especializados"</f>
        <v>Comércio a retalho de outros produtos alimentares, em estabelecimentos especializados</v>
      </c>
    </row>
    <row r="1129" spans="1:3" ht="15">
      <c r="A1129">
        <v>5</v>
      </c>
      <c r="B1129" t="str">
        <f>"47291"</f>
        <v>47291</v>
      </c>
      <c r="C1129" t="str">
        <f>"Comércio a retalho de leite e de derivados, em estabelecimentos especializados"</f>
        <v>Comércio a retalho de leite e de derivados, em estabelecimentos especializados</v>
      </c>
    </row>
    <row r="1130" spans="1:3" ht="15">
      <c r="A1130">
        <v>5</v>
      </c>
      <c r="B1130" t="str">
        <f>"47292"</f>
        <v>47292</v>
      </c>
      <c r="C1130" t="str">
        <f>"Comércio a retalho de produtos alimentares, naturais e dietéticos, em estabelecimentos especializados"</f>
        <v>Comércio a retalho de produtos alimentares, naturais e dietéticos, em estabelecimentos especializados</v>
      </c>
    </row>
    <row r="1131" spans="1:3" ht="15">
      <c r="A1131">
        <v>5</v>
      </c>
      <c r="B1131" t="str">
        <f>"47293"</f>
        <v>47293</v>
      </c>
      <c r="C1131" t="str">
        <f>"Outro comércio a retalho de produtos alimentares, em estabelecimentos especializados, n.e."</f>
        <v>Outro comércio a retalho de produtos alimentares, em estabelecimentos especializados, n.e.</v>
      </c>
    </row>
    <row r="1132" spans="1:3" ht="15">
      <c r="A1132">
        <v>3</v>
      </c>
      <c r="B1132" t="str">
        <f>"473"</f>
        <v>473</v>
      </c>
      <c r="C1132" t="str">
        <f>"Comércio a retalho de combustível para veículos a motor, em estabelecimentos especializados"</f>
        <v>Comércio a retalho de combustível para veículos a motor, em estabelecimentos especializados</v>
      </c>
    </row>
    <row r="1133" spans="1:3" ht="15">
      <c r="A1133">
        <v>4</v>
      </c>
      <c r="B1133" t="str">
        <f>"4730"</f>
        <v>4730</v>
      </c>
      <c r="C1133" t="str">
        <f>"Comércio a retalho de combustível para veículos a motor, em estabelecimentos especializados"</f>
        <v>Comércio a retalho de combustível para veículos a motor, em estabelecimentos especializados</v>
      </c>
    </row>
    <row r="1134" spans="1:3" ht="15">
      <c r="A1134">
        <v>5</v>
      </c>
      <c r="B1134" t="str">
        <f>"47300"</f>
        <v>47300</v>
      </c>
      <c r="C1134" t="str">
        <f>"Comércio a retalho de combustível para veículos a motor, em estabelecimentos especializados"</f>
        <v>Comércio a retalho de combustível para veículos a motor, em estabelecimentos especializados</v>
      </c>
    </row>
    <row r="1135" spans="1:3" ht="15">
      <c r="A1135">
        <v>3</v>
      </c>
      <c r="B1135" t="str">
        <f>"474"</f>
        <v>474</v>
      </c>
      <c r="C1135" t="str">
        <f>"Comércio a retalho de equipamento das tecnologias de informação e comunicação (TIC), em estabelecimentos especializados"</f>
        <v>Comércio a retalho de equipamento das tecnologias de informação e comunicação (TIC), em estabelecimentos especializados</v>
      </c>
    </row>
    <row r="1136" spans="1:3" ht="15">
      <c r="A1136">
        <v>4</v>
      </c>
      <c r="B1136" t="str">
        <f>"4741"</f>
        <v>4741</v>
      </c>
      <c r="C1136" t="str">
        <f>"Comércio a retalho de computadores, unidades periféricas e programas informáticos, em estabelecimentos especializados"</f>
        <v>Comércio a retalho de computadores, unidades periféricas e programas informáticos, em estabelecimentos especializados</v>
      </c>
    </row>
    <row r="1137" spans="1:3" ht="15">
      <c r="A1137">
        <v>5</v>
      </c>
      <c r="B1137" t="str">
        <f>"47410"</f>
        <v>47410</v>
      </c>
      <c r="C1137" t="str">
        <f>"Comércio a retalho de computadores, unidades periféricas e programas informáticos, em estabelecimentos especializados"</f>
        <v>Comércio a retalho de computadores, unidades periféricas e programas informáticos, em estabelecimentos especializados</v>
      </c>
    </row>
    <row r="1138" spans="1:3" ht="15">
      <c r="A1138">
        <v>4</v>
      </c>
      <c r="B1138" t="str">
        <f>"4742"</f>
        <v>4742</v>
      </c>
      <c r="C1138" t="str">
        <f>"Comércio a retalho de equipamento de telecomunicações, em estabelecimentos especializados"</f>
        <v>Comércio a retalho de equipamento de telecomunicações, em estabelecimentos especializados</v>
      </c>
    </row>
    <row r="1139" spans="1:3" ht="15">
      <c r="A1139">
        <v>5</v>
      </c>
      <c r="B1139" t="str">
        <f>"47420"</f>
        <v>47420</v>
      </c>
      <c r="C1139" t="str">
        <f>"Comércio a retalho de equipamento de telecomunicações, em estabelecimentos especializados"</f>
        <v>Comércio a retalho de equipamento de telecomunicações, em estabelecimentos especializados</v>
      </c>
    </row>
    <row r="1140" spans="1:3" ht="15">
      <c r="A1140">
        <v>4</v>
      </c>
      <c r="B1140" t="str">
        <f>"4743"</f>
        <v>4743</v>
      </c>
      <c r="C1140" t="str">
        <f>"Comércio a retalho de equipamento audiovisual, em estabelecimentos especializados"</f>
        <v>Comércio a retalho de equipamento audiovisual, em estabelecimentos especializados</v>
      </c>
    </row>
    <row r="1141" spans="1:3" ht="15">
      <c r="A1141">
        <v>5</v>
      </c>
      <c r="B1141" t="str">
        <f>"47430"</f>
        <v>47430</v>
      </c>
      <c r="C1141" t="str">
        <f>"Comércio a retalho de equipamento audiovisual, em estabelecimentos especializados"</f>
        <v>Comércio a retalho de equipamento audiovisual, em estabelecimentos especializados</v>
      </c>
    </row>
    <row r="1142" spans="1:3" ht="15">
      <c r="A1142">
        <v>3</v>
      </c>
      <c r="B1142" t="str">
        <f>"475"</f>
        <v>475</v>
      </c>
      <c r="C1142" t="str">
        <f>"Comércio a retalho de outro equipamento  para uso doméstico, em estabelecimentos especializados"</f>
        <v>Comércio a retalho de outro equipamento  para uso doméstico, em estabelecimentos especializados</v>
      </c>
    </row>
    <row r="1143" spans="1:3" ht="15">
      <c r="A1143">
        <v>4</v>
      </c>
      <c r="B1143" t="str">
        <f>"4751"</f>
        <v>4751</v>
      </c>
      <c r="C1143" t="str">
        <f>"Comércio a retalho de têxteis, em estabelecimentos especializados"</f>
        <v>Comércio a retalho de têxteis, em estabelecimentos especializados</v>
      </c>
    </row>
    <row r="1144" spans="1:3" ht="15">
      <c r="A1144">
        <v>5</v>
      </c>
      <c r="B1144" t="str">
        <f>"47510"</f>
        <v>47510</v>
      </c>
      <c r="C1144" t="str">
        <f>"Comércio a retalho de têxteis, em estabelecimentos especializados"</f>
        <v>Comércio a retalho de têxteis, em estabelecimentos especializados</v>
      </c>
    </row>
    <row r="1145" spans="1:3" ht="15">
      <c r="A1145">
        <v>4</v>
      </c>
      <c r="B1145" t="str">
        <f>"4752"</f>
        <v>4752</v>
      </c>
      <c r="C1145" t="str">
        <f>"Comércio a retalho de ferragens, tintas, vidros, equipamento sanitário, ladrilhos e similares, em estabelecimentos especializados"</f>
        <v>Comércio a retalho de ferragens, tintas, vidros, equipamento sanitário, ladrilhos e similares, em estabelecimentos especializados</v>
      </c>
    </row>
    <row r="1146" spans="1:3" ht="15">
      <c r="A1146">
        <v>5</v>
      </c>
      <c r="B1146" t="str">
        <f>"47521"</f>
        <v>47521</v>
      </c>
      <c r="C1146" t="str">
        <f>"Comércio a retalho de ferragens e de vidro plano, em estabelecimentos especializados"</f>
        <v>Comércio a retalho de ferragens e de vidro plano, em estabelecimentos especializados</v>
      </c>
    </row>
    <row r="1147" spans="1:3" ht="15">
      <c r="A1147">
        <v>5</v>
      </c>
      <c r="B1147" t="str">
        <f>"47522"</f>
        <v>47522</v>
      </c>
      <c r="C1147" t="str">
        <f>"Comércio a retalho de tintas, vernizes e produtos similares, em estabelecimentos especializados"</f>
        <v>Comércio a retalho de tintas, vernizes e produtos similares, em estabelecimentos especializados</v>
      </c>
    </row>
    <row r="1148" spans="1:3" ht="15">
      <c r="A1148">
        <v>5</v>
      </c>
      <c r="B1148" t="str">
        <f>"47523"</f>
        <v>47523</v>
      </c>
      <c r="C1148" t="str">
        <f>"Comércio a retalho de material de bricolage, equipamento sanitário, ladrilhos e materiais similares, em estabelecimentos especializados"</f>
        <v>Comércio a retalho de material de bricolage, equipamento sanitário, ladrilhos e materiais similares, em estabelecimentos especializados</v>
      </c>
    </row>
    <row r="1149" spans="1:3" ht="15">
      <c r="A1149">
        <v>4</v>
      </c>
      <c r="B1149" t="str">
        <f>"4753"</f>
        <v>4753</v>
      </c>
      <c r="C1149" t="str">
        <f>"Comércio a retalho de carpetes, tapetes, cortinados e  revestimentos  para paredes e pavimentos, em estabelecimentos especializados"</f>
        <v>Comércio a retalho de carpetes, tapetes, cortinados e  revestimentos  para paredes e pavimentos, em estabelecimentos especializados</v>
      </c>
    </row>
    <row r="1150" spans="1:3" ht="15">
      <c r="A1150">
        <v>5</v>
      </c>
      <c r="B1150" t="str">
        <f>"47530"</f>
        <v>47530</v>
      </c>
      <c r="C1150" t="str">
        <f>"Comércio a retalho de carpetes, tapetes, cortinados e  revestimentos  para paredes e pavimentos, em estabelecimentos especializados"</f>
        <v>Comércio a retalho de carpetes, tapetes, cortinados e  revestimentos  para paredes e pavimentos, em estabelecimentos especializados</v>
      </c>
    </row>
    <row r="1151" spans="1:3" ht="15">
      <c r="A1151">
        <v>4</v>
      </c>
      <c r="B1151" t="str">
        <f>"4754"</f>
        <v>4754</v>
      </c>
      <c r="C1151" t="str">
        <f>"Comércio a retalho de electrodomésticos, em estabelecimentos especializados"</f>
        <v>Comércio a retalho de electrodomésticos, em estabelecimentos especializados</v>
      </c>
    </row>
    <row r="1152" spans="1:3" ht="15">
      <c r="A1152">
        <v>5</v>
      </c>
      <c r="B1152" t="str">
        <f>"47540"</f>
        <v>47540</v>
      </c>
      <c r="C1152" t="str">
        <f>"Comércio a retalho de electrodomésticos, em estabelecimentos especializados"</f>
        <v>Comércio a retalho de electrodomésticos, em estabelecimentos especializados</v>
      </c>
    </row>
    <row r="1153" spans="1:3" ht="15">
      <c r="A1153">
        <v>4</v>
      </c>
      <c r="B1153" t="str">
        <f>"4759"</f>
        <v>4759</v>
      </c>
      <c r="C1153" t="str">
        <f>"Comércio a retalho de móveis, de artigos de iluminação e de outros artigos para o lar, em estabelecimentos especializados"</f>
        <v>Comércio a retalho de móveis, de artigos de iluminação e de outros artigos para o lar, em estabelecimentos especializados</v>
      </c>
    </row>
    <row r="1154" spans="1:3" ht="15">
      <c r="A1154">
        <v>5</v>
      </c>
      <c r="B1154" t="str">
        <f>"47591"</f>
        <v>47591</v>
      </c>
      <c r="C1154" t="str">
        <f>"Comércio a retalho de mobiliário e artigos de iluminação, em estabelecimentos especializados"</f>
        <v>Comércio a retalho de mobiliário e artigos de iluminação, em estabelecimentos especializados</v>
      </c>
    </row>
    <row r="1155" spans="1:3" ht="15">
      <c r="A1155">
        <v>5</v>
      </c>
      <c r="B1155" t="str">
        <f>"47592"</f>
        <v>47592</v>
      </c>
      <c r="C1155" t="str">
        <f>"Comércio a retalho de louças, cutelaria e de outros artigos similares para uso doméstico, em estabelecimentos especializados"</f>
        <v>Comércio a retalho de louças, cutelaria e de outros artigos similares para uso doméstico, em estabelecimentos especializados</v>
      </c>
    </row>
    <row r="1156" spans="1:3" ht="15">
      <c r="A1156">
        <v>5</v>
      </c>
      <c r="B1156" t="str">
        <f>"47593"</f>
        <v>47593</v>
      </c>
      <c r="C1156" t="str">
        <f>"Comércio a retalho de outros artigos para o lar, n.e., em estabelecimentos especializados"</f>
        <v>Comércio a retalho de outros artigos para o lar, n.e., em estabelecimentos especializados</v>
      </c>
    </row>
    <row r="1157" spans="1:3" ht="15">
      <c r="A1157">
        <v>3</v>
      </c>
      <c r="B1157" t="str">
        <f>"476"</f>
        <v>476</v>
      </c>
      <c r="C1157" t="str">
        <f>"Comércio a retalho de bens culturais e recreativos, em estabelecimentos especializados"</f>
        <v>Comércio a retalho de bens culturais e recreativos, em estabelecimentos especializados</v>
      </c>
    </row>
    <row r="1158" spans="1:3" ht="15">
      <c r="A1158">
        <v>4</v>
      </c>
      <c r="B1158" t="str">
        <f>"4761"</f>
        <v>4761</v>
      </c>
      <c r="C1158" t="str">
        <f>"Comércio a retalho de livros, em estabelecimentos especializados"</f>
        <v>Comércio a retalho de livros, em estabelecimentos especializados</v>
      </c>
    </row>
    <row r="1159" spans="1:3" ht="15">
      <c r="A1159">
        <v>5</v>
      </c>
      <c r="B1159" t="str">
        <f>"47610"</f>
        <v>47610</v>
      </c>
      <c r="C1159" t="str">
        <f>"Comércio a retalho de livros, em estabelecimentos especializados"</f>
        <v>Comércio a retalho de livros, em estabelecimentos especializados</v>
      </c>
    </row>
    <row r="1160" spans="1:3" ht="15">
      <c r="A1160">
        <v>4</v>
      </c>
      <c r="B1160" t="str">
        <f>"4762"</f>
        <v>4762</v>
      </c>
      <c r="C1160" t="str">
        <f>"Comércio a retalho de jornais, revistas e artigos de papelaria, em estabelecimentos especializados"</f>
        <v>Comércio a retalho de jornais, revistas e artigos de papelaria, em estabelecimentos especializados</v>
      </c>
    </row>
    <row r="1161" spans="1:3" ht="15">
      <c r="A1161">
        <v>5</v>
      </c>
      <c r="B1161" t="str">
        <f>"47620"</f>
        <v>47620</v>
      </c>
      <c r="C1161" t="str">
        <f>"Comércio a retalho de jornais, revistas e artigos de papelaria, em estabelecimentos especializados"</f>
        <v>Comércio a retalho de jornais, revistas e artigos de papelaria, em estabelecimentos especializados</v>
      </c>
    </row>
    <row r="1162" spans="1:3" ht="15">
      <c r="A1162">
        <v>4</v>
      </c>
      <c r="B1162" t="str">
        <f>"4763"</f>
        <v>4763</v>
      </c>
      <c r="C1162" t="str">
        <f>"Comércio a retalho de  discos, CD, DVD, cassetes e similares, em estabelecimentos especializados"</f>
        <v>Comércio a retalho de  discos, CD, DVD, cassetes e similares, em estabelecimentos especializados</v>
      </c>
    </row>
    <row r="1163" spans="1:3" ht="15">
      <c r="A1163">
        <v>5</v>
      </c>
      <c r="B1163" t="str">
        <f>"47630"</f>
        <v>47630</v>
      </c>
      <c r="C1163" t="str">
        <f>"Comércio a retalho de  discos, CD, DVD, cassetes e similares, em estabelecimentos especializados"</f>
        <v>Comércio a retalho de  discos, CD, DVD, cassetes e similares, em estabelecimentos especializados</v>
      </c>
    </row>
    <row r="1164" spans="1:3" ht="15">
      <c r="A1164">
        <v>4</v>
      </c>
      <c r="B1164" t="str">
        <f>"4764"</f>
        <v>4764</v>
      </c>
      <c r="C1164" t="str">
        <f>"Comércio a retalho de artigos de desporto, de campismo e lazer, em estabelecimentos especializados"</f>
        <v>Comércio a retalho de artigos de desporto, de campismo e lazer, em estabelecimentos especializados</v>
      </c>
    </row>
    <row r="1165" spans="1:3" ht="15">
      <c r="A1165">
        <v>5</v>
      </c>
      <c r="B1165" t="str">
        <f>"47640"</f>
        <v>47640</v>
      </c>
      <c r="C1165" t="str">
        <f>"Comércio a retalho de artigos de desporto, de campismo e lazer, em estabelecimentos especializados"</f>
        <v>Comércio a retalho de artigos de desporto, de campismo e lazer, em estabelecimentos especializados</v>
      </c>
    </row>
    <row r="1166" spans="1:3" ht="15">
      <c r="A1166">
        <v>4</v>
      </c>
      <c r="B1166" t="str">
        <f>"4765"</f>
        <v>4765</v>
      </c>
      <c r="C1166" t="str">
        <f>"Comércio a retalho de jogos e brinquedos, em estabelecimentos especializados"</f>
        <v>Comércio a retalho de jogos e brinquedos, em estabelecimentos especializados</v>
      </c>
    </row>
    <row r="1167" spans="1:3" ht="15">
      <c r="A1167">
        <v>5</v>
      </c>
      <c r="B1167" t="str">
        <f>"47650"</f>
        <v>47650</v>
      </c>
      <c r="C1167" t="str">
        <f>"Comércio a retalho de jogos e brinquedos, em estabelecimentos especializados"</f>
        <v>Comércio a retalho de jogos e brinquedos, em estabelecimentos especializados</v>
      </c>
    </row>
    <row r="1168" spans="1:3" ht="15">
      <c r="A1168">
        <v>3</v>
      </c>
      <c r="B1168" t="str">
        <f>"477"</f>
        <v>477</v>
      </c>
      <c r="C1168" t="str">
        <f>"Comércio a retalho de outros produtos, em estabelecimentos especializados"</f>
        <v>Comércio a retalho de outros produtos, em estabelecimentos especializados</v>
      </c>
    </row>
    <row r="1169" spans="1:3" ht="15">
      <c r="A1169">
        <v>4</v>
      </c>
      <c r="B1169" t="str">
        <f>"4771"</f>
        <v>4771</v>
      </c>
      <c r="C1169" t="str">
        <f>"Comércio a retalho de vestuário, em estabelecimentos especializados"</f>
        <v>Comércio a retalho de vestuário, em estabelecimentos especializados</v>
      </c>
    </row>
    <row r="1170" spans="1:3" ht="15">
      <c r="A1170">
        <v>5</v>
      </c>
      <c r="B1170" t="str">
        <f>"47711"</f>
        <v>47711</v>
      </c>
      <c r="C1170" t="str">
        <f>"Comércio a retalho de vestuário para adultos, em estabelecimentos especializados"</f>
        <v>Comércio a retalho de vestuário para adultos, em estabelecimentos especializados</v>
      </c>
    </row>
    <row r="1171" spans="1:3" ht="15">
      <c r="A1171">
        <v>5</v>
      </c>
      <c r="B1171" t="str">
        <f>"47712"</f>
        <v>47712</v>
      </c>
      <c r="C1171" t="str">
        <f>"Comércio a retalho de vestuário para bebés e crianças, em estabelecimentos especializados"</f>
        <v>Comércio a retalho de vestuário para bebés e crianças, em estabelecimentos especializados</v>
      </c>
    </row>
    <row r="1172" spans="1:3" ht="15">
      <c r="A1172">
        <v>4</v>
      </c>
      <c r="B1172" t="str">
        <f>"4772"</f>
        <v>4772</v>
      </c>
      <c r="C1172" t="str">
        <f>"Comércio a retalho de calçado e artigos de couro, em estabelecimentos especializados"</f>
        <v>Comércio a retalho de calçado e artigos de couro, em estabelecimentos especializados</v>
      </c>
    </row>
    <row r="1173" spans="1:3" ht="15">
      <c r="A1173">
        <v>5</v>
      </c>
      <c r="B1173" t="str">
        <f>"47721"</f>
        <v>47721</v>
      </c>
      <c r="C1173" t="str">
        <f>"Comércio a retalho de calçado, em estabelecimentos especializados"</f>
        <v>Comércio a retalho de calçado, em estabelecimentos especializados</v>
      </c>
    </row>
    <row r="1174" spans="1:3" ht="15">
      <c r="A1174">
        <v>5</v>
      </c>
      <c r="B1174" t="str">
        <f>"47722"</f>
        <v>47722</v>
      </c>
      <c r="C1174" t="str">
        <f>"Comércio a retalho de marroquinaria e artigos de viagem, em estabelecimentos especializados"</f>
        <v>Comércio a retalho de marroquinaria e artigos de viagem, em estabelecimentos especializados</v>
      </c>
    </row>
    <row r="1175" spans="1:3" ht="15">
      <c r="A1175">
        <v>4</v>
      </c>
      <c r="B1175" t="str">
        <f>"4773"</f>
        <v>4773</v>
      </c>
      <c r="C1175" t="str">
        <f>"Comércio a retalho de produtos farmacêuticos, em estabelecimentos especializados"</f>
        <v>Comércio a retalho de produtos farmacêuticos, em estabelecimentos especializados</v>
      </c>
    </row>
    <row r="1176" spans="1:3" ht="15">
      <c r="A1176">
        <v>5</v>
      </c>
      <c r="B1176" t="str">
        <f>"47730"</f>
        <v>47730</v>
      </c>
      <c r="C1176" t="str">
        <f>"Comércio a retalho de produtos farmacêuticos, em estabelecimentos especializados"</f>
        <v>Comércio a retalho de produtos farmacêuticos, em estabelecimentos especializados</v>
      </c>
    </row>
    <row r="1177" spans="1:3" ht="15">
      <c r="A1177">
        <v>4</v>
      </c>
      <c r="B1177" t="str">
        <f>"4774"</f>
        <v>4774</v>
      </c>
      <c r="C1177" t="str">
        <f>"Comércio a retalho de produtos médicos e ortopédicos, em estabelecimentos especializados"</f>
        <v>Comércio a retalho de produtos médicos e ortopédicos, em estabelecimentos especializados</v>
      </c>
    </row>
    <row r="1178" spans="1:3" ht="15">
      <c r="A1178">
        <v>5</v>
      </c>
      <c r="B1178" t="str">
        <f>"47740"</f>
        <v>47740</v>
      </c>
      <c r="C1178" t="str">
        <f>"Comércio a retalho de produtos médicos e ortopédicos, em estabelecimentos especializados"</f>
        <v>Comércio a retalho de produtos médicos e ortopédicos, em estabelecimentos especializados</v>
      </c>
    </row>
    <row r="1179" spans="1:3" ht="15">
      <c r="A1179">
        <v>4</v>
      </c>
      <c r="B1179" t="str">
        <f>"4775"</f>
        <v>4775</v>
      </c>
      <c r="C1179" t="str">
        <f>"Comércio a retalho de produtos cosméticos e de higiene, em estabelecimentos especializados"</f>
        <v>Comércio a retalho de produtos cosméticos e de higiene, em estabelecimentos especializados</v>
      </c>
    </row>
    <row r="1180" spans="1:3" ht="15">
      <c r="A1180">
        <v>5</v>
      </c>
      <c r="B1180" t="str">
        <f>"47750"</f>
        <v>47750</v>
      </c>
      <c r="C1180" t="str">
        <f>"Comércio a retalho de produtos cosméticos e de higiene, em estabelecimentos especializados"</f>
        <v>Comércio a retalho de produtos cosméticos e de higiene, em estabelecimentos especializados</v>
      </c>
    </row>
    <row r="1181" spans="1:3" ht="15">
      <c r="A1181">
        <v>4</v>
      </c>
      <c r="B1181" t="str">
        <f>"4776"</f>
        <v>4776</v>
      </c>
      <c r="C1181" t="str">
        <f>"Comércio a retalho de flores, plantas, sementes, fertilizantes, animais de companhia e respectivos alimentos, em estabelecimentos especializados"</f>
        <v>Comércio a retalho de flores, plantas, sementes, fertilizantes, animais de companhia e respectivos alimentos, em estabelecimentos especializados</v>
      </c>
    </row>
    <row r="1182" spans="1:3" ht="15">
      <c r="A1182">
        <v>5</v>
      </c>
      <c r="B1182" t="str">
        <f>"47761"</f>
        <v>47761</v>
      </c>
      <c r="C1182" t="str">
        <f>"Comércio a retalho de flores, plantas, sementes e  fertilizantes, em estabelecimentos especializados"</f>
        <v>Comércio a retalho de flores, plantas, sementes e  fertilizantes, em estabelecimentos especializados</v>
      </c>
    </row>
    <row r="1183" spans="1:3" ht="15">
      <c r="A1183">
        <v>5</v>
      </c>
      <c r="B1183" t="str">
        <f>"47762"</f>
        <v>47762</v>
      </c>
      <c r="C1183" t="str">
        <f>"Comércio a retalho de animais de companhia e respectivos alimentos, em estabelecimentos especializados"</f>
        <v>Comércio a retalho de animais de companhia e respectivos alimentos, em estabelecimentos especializados</v>
      </c>
    </row>
    <row r="1184" spans="1:3" ht="15">
      <c r="A1184">
        <v>4</v>
      </c>
      <c r="B1184" t="str">
        <f>"4777"</f>
        <v>4777</v>
      </c>
      <c r="C1184" t="str">
        <f>"Comércio a retalho de relógios e de artigos de ourivesaria e joalharia, em estabelecimentos especializados"</f>
        <v>Comércio a retalho de relógios e de artigos de ourivesaria e joalharia, em estabelecimentos especializados</v>
      </c>
    </row>
    <row r="1185" spans="1:3" ht="15">
      <c r="A1185">
        <v>5</v>
      </c>
      <c r="B1185" t="str">
        <f>"47770"</f>
        <v>47770</v>
      </c>
      <c r="C1185" t="str">
        <f>"Comércio a retalho de relógios e de artigos de ourivesaria e joalharia, em estabelecimentos especializados"</f>
        <v>Comércio a retalho de relógios e de artigos de ourivesaria e joalharia, em estabelecimentos especializados</v>
      </c>
    </row>
    <row r="1186" spans="1:3" ht="15">
      <c r="A1186">
        <v>4</v>
      </c>
      <c r="B1186" t="str">
        <f>"4778"</f>
        <v>4778</v>
      </c>
      <c r="C1186" t="str">
        <f>"Comércio a retalho de outros produtos novos, em estabelecimentos especializados"</f>
        <v>Comércio a retalho de outros produtos novos, em estabelecimentos especializados</v>
      </c>
    </row>
    <row r="1187" spans="1:3" ht="15">
      <c r="A1187">
        <v>5</v>
      </c>
      <c r="B1187" t="str">
        <f>"47781"</f>
        <v>47781</v>
      </c>
      <c r="C1187" t="str">
        <f>"Comércio a retalho de máquinas e de outro material de escritório, em estabelecimentos especializados"</f>
        <v>Comércio a retalho de máquinas e de outro material de escritório, em estabelecimentos especializados</v>
      </c>
    </row>
    <row r="1188" spans="1:3" ht="15">
      <c r="A1188">
        <v>5</v>
      </c>
      <c r="B1188" t="str">
        <f>"47782"</f>
        <v>47782</v>
      </c>
      <c r="C1188" t="str">
        <f>"Comércio a retalho de material óptico, fotográfico, cinematográfico e de instrumentos de precisão, em estabelecimentos especializados"</f>
        <v>Comércio a retalho de material óptico, fotográfico, cinematográfico e de instrumentos de precisão, em estabelecimentos especializados</v>
      </c>
    </row>
    <row r="1189" spans="1:3" ht="15">
      <c r="A1189">
        <v>5</v>
      </c>
      <c r="B1189" t="str">
        <f>"47783"</f>
        <v>47783</v>
      </c>
      <c r="C1189" t="str">
        <f>"Comércio a retalho de combustíveis para uso doméstico, em estabelecimentos especializados"</f>
        <v>Comércio a retalho de combustíveis para uso doméstico, em estabelecimentos especializados</v>
      </c>
    </row>
    <row r="1190" spans="1:3" ht="15">
      <c r="A1190">
        <v>5</v>
      </c>
      <c r="B1190" t="str">
        <f>"47784"</f>
        <v>47784</v>
      </c>
      <c r="C1190" t="str">
        <f>"Comércio a retalho de outros produtos novos, em estabelecimentos especializados, n.e."</f>
        <v>Comércio a retalho de outros produtos novos, em estabelecimentos especializados, n.e.</v>
      </c>
    </row>
    <row r="1191" spans="1:3" ht="15">
      <c r="A1191">
        <v>4</v>
      </c>
      <c r="B1191" t="str">
        <f>"4779"</f>
        <v>4779</v>
      </c>
      <c r="C1191" t="str">
        <f>"Comércio a retalho de artigos em segunda mão, em estabelecimentos especializados"</f>
        <v>Comércio a retalho de artigos em segunda mão, em estabelecimentos especializados</v>
      </c>
    </row>
    <row r="1192" spans="1:3" ht="15">
      <c r="A1192">
        <v>5</v>
      </c>
      <c r="B1192" t="str">
        <f>"47790"</f>
        <v>47790</v>
      </c>
      <c r="C1192" t="str">
        <f>"Comércio a retalho de artigos em segunda mão, em estabelecimentos especializados"</f>
        <v>Comércio a retalho de artigos em segunda mão, em estabelecimentos especializados</v>
      </c>
    </row>
    <row r="1193" spans="1:3" ht="15">
      <c r="A1193">
        <v>3</v>
      </c>
      <c r="B1193" t="str">
        <f>"478"</f>
        <v>478</v>
      </c>
      <c r="C1193" t="str">
        <f>"Comércio a retalho em bancas,  feiras e unidades móveis de venda"</f>
        <v>Comércio a retalho em bancas,  feiras e unidades móveis de venda</v>
      </c>
    </row>
    <row r="1194" spans="1:3" ht="15">
      <c r="A1194">
        <v>4</v>
      </c>
      <c r="B1194" t="str">
        <f>"4781"</f>
        <v>4781</v>
      </c>
      <c r="C1194" t="str">
        <f>"Comércio a retalho em bancas, feiras e unidades móveis de venda, de produtos alimentares, bebidas e tabaco"</f>
        <v>Comércio a retalho em bancas, feiras e unidades móveis de venda, de produtos alimentares, bebidas e tabaco</v>
      </c>
    </row>
    <row r="1195" spans="1:3" ht="15">
      <c r="A1195">
        <v>5</v>
      </c>
      <c r="B1195" t="str">
        <f>"47810"</f>
        <v>47810</v>
      </c>
      <c r="C1195" t="str">
        <f>"Comércio a retalho em bancas, feiras e unidades móveis de venda, de produtos alimentares, bebidas e tabaco"</f>
        <v>Comércio a retalho em bancas, feiras e unidades móveis de venda, de produtos alimentares, bebidas e tabaco</v>
      </c>
    </row>
    <row r="1196" spans="1:3" ht="15">
      <c r="A1196">
        <v>4</v>
      </c>
      <c r="B1196" t="str">
        <f>"4782"</f>
        <v>4782</v>
      </c>
      <c r="C1196" t="str">
        <f>"Comércio a retalho em bancas, feiras e unidades móveis de venda, de têxteis, vestuário, calçado, malas e similares"</f>
        <v>Comércio a retalho em bancas, feiras e unidades móveis de venda, de têxteis, vestuário, calçado, malas e similares</v>
      </c>
    </row>
    <row r="1197" spans="1:3" ht="15">
      <c r="A1197">
        <v>5</v>
      </c>
      <c r="B1197" t="str">
        <f>"47820"</f>
        <v>47820</v>
      </c>
      <c r="C1197" t="str">
        <f>"Comércio a retalho em bancas, feiras e unidades móveis de venda, de têxteis, vestuário, calçado, malas e similares"</f>
        <v>Comércio a retalho em bancas, feiras e unidades móveis de venda, de têxteis, vestuário, calçado, malas e similares</v>
      </c>
    </row>
    <row r="1198" spans="1:3" ht="15">
      <c r="A1198">
        <v>4</v>
      </c>
      <c r="B1198" t="str">
        <f>"4789"</f>
        <v>4789</v>
      </c>
      <c r="C1198" t="str">
        <f>"Comércio a retalho em bancas, feiras e unidades móveis de venda, de outros produtos"</f>
        <v>Comércio a retalho em bancas, feiras e unidades móveis de venda, de outros produtos</v>
      </c>
    </row>
    <row r="1199" spans="1:3" ht="15">
      <c r="A1199">
        <v>5</v>
      </c>
      <c r="B1199" t="str">
        <f>"47890"</f>
        <v>47890</v>
      </c>
      <c r="C1199" t="str">
        <f>"Comércio a retalho em bancas, feiras e unidades móveis de venda, de outros produtos"</f>
        <v>Comércio a retalho em bancas, feiras e unidades móveis de venda, de outros produtos</v>
      </c>
    </row>
    <row r="1200" spans="1:3" ht="15">
      <c r="A1200">
        <v>3</v>
      </c>
      <c r="B1200" t="str">
        <f>"479"</f>
        <v>479</v>
      </c>
      <c r="C1200" t="str">
        <f>"Comércio a retalho não efectuado em estabelecimentos,  bancas, feiras ou unidades móveis de venda"</f>
        <v>Comércio a retalho não efectuado em estabelecimentos,  bancas, feiras ou unidades móveis de venda</v>
      </c>
    </row>
    <row r="1201" spans="1:3" ht="15">
      <c r="A1201">
        <v>4</v>
      </c>
      <c r="B1201" t="str">
        <f>"4791"</f>
        <v>4791</v>
      </c>
      <c r="C1201" t="str">
        <f>"Comércio a retalho por correspondência ou via Internet"</f>
        <v>Comércio a retalho por correspondência ou via Internet</v>
      </c>
    </row>
    <row r="1202" spans="1:3" ht="15">
      <c r="A1202">
        <v>5</v>
      </c>
      <c r="B1202" t="str">
        <f>"47910"</f>
        <v>47910</v>
      </c>
      <c r="C1202" t="str">
        <f>"Comércio a retalho por correspondência ou via Internet"</f>
        <v>Comércio a retalho por correspondência ou via Internet</v>
      </c>
    </row>
    <row r="1203" spans="1:3" ht="15">
      <c r="A1203">
        <v>4</v>
      </c>
      <c r="B1203" t="str">
        <f>"4799"</f>
        <v>4799</v>
      </c>
      <c r="C1203" t="str">
        <f>"Comércio a retalho por outros métodos, não efectuado em estabelecimentos, bancas, feiras ou unidades móveis de venda"</f>
        <v>Comércio a retalho por outros métodos, não efectuado em estabelecimentos, bancas, feiras ou unidades móveis de venda</v>
      </c>
    </row>
    <row r="1204" spans="1:3" ht="15">
      <c r="A1204">
        <v>5</v>
      </c>
      <c r="B1204" t="str">
        <f>"47990"</f>
        <v>47990</v>
      </c>
      <c r="C1204" t="str">
        <f>"Comércio a retalho por outros métodos, não efectuado em estabelecimentos, bancas, feiras ou unidades móveis de venda"</f>
        <v>Comércio a retalho por outros métodos, não efectuado em estabelecimentos, bancas, feiras ou unidades móveis de venda</v>
      </c>
    </row>
    <row r="1205" spans="1:3" ht="15">
      <c r="A1205">
        <v>1</v>
      </c>
      <c r="B1205" t="str">
        <f>"H"</f>
        <v>H</v>
      </c>
      <c r="C1205" t="str">
        <f>"Transportes e armazenagem"</f>
        <v>Transportes e armazenagem</v>
      </c>
    </row>
    <row r="1206" spans="1:3" ht="15">
      <c r="A1206">
        <v>2</v>
      </c>
      <c r="B1206" t="str">
        <f>"49"</f>
        <v>49</v>
      </c>
      <c r="C1206" t="str">
        <f>"Transportes terrestres e transportes por oledutos ou gasodutos"</f>
        <v>Transportes terrestres e transportes por oledutos ou gasodutos</v>
      </c>
    </row>
    <row r="1207" spans="1:3" ht="15">
      <c r="A1207">
        <v>3</v>
      </c>
      <c r="B1207" t="str">
        <f>"491"</f>
        <v>491</v>
      </c>
      <c r="C1207" t="str">
        <f>"Transporte interurbano  de passageiros por caminho-de-ferro"</f>
        <v>Transporte interurbano  de passageiros por caminho-de-ferro</v>
      </c>
    </row>
    <row r="1208" spans="1:3" ht="15">
      <c r="A1208">
        <v>4</v>
      </c>
      <c r="B1208" t="str">
        <f>"4910"</f>
        <v>4910</v>
      </c>
      <c r="C1208" t="str">
        <f>"Transporte interurbano  de passageiros por caminho-de-ferro"</f>
        <v>Transporte interurbano  de passageiros por caminho-de-ferro</v>
      </c>
    </row>
    <row r="1209" spans="1:3" ht="15">
      <c r="A1209">
        <v>5</v>
      </c>
      <c r="B1209" t="str">
        <f>"49100"</f>
        <v>49100</v>
      </c>
      <c r="C1209" t="str">
        <f>"Transporte interurbano  de passageiros por caminho-de-ferro"</f>
        <v>Transporte interurbano  de passageiros por caminho-de-ferro</v>
      </c>
    </row>
    <row r="1210" spans="1:3" ht="15">
      <c r="A1210">
        <v>3</v>
      </c>
      <c r="B1210" t="str">
        <f>"492"</f>
        <v>492</v>
      </c>
      <c r="C1210" t="str">
        <f>"Transporte de mercadorias por caminho-de-ferro"</f>
        <v>Transporte de mercadorias por caminho-de-ferro</v>
      </c>
    </row>
    <row r="1211" spans="1:3" ht="15">
      <c r="A1211">
        <v>4</v>
      </c>
      <c r="B1211" t="str">
        <f>"4920"</f>
        <v>4920</v>
      </c>
      <c r="C1211" t="str">
        <f>"Transporte de mercadorias por caminhos-de-ferro"</f>
        <v>Transporte de mercadorias por caminhos-de-ferro</v>
      </c>
    </row>
    <row r="1212" spans="1:3" ht="15">
      <c r="A1212">
        <v>5</v>
      </c>
      <c r="B1212" t="str">
        <f>"49200"</f>
        <v>49200</v>
      </c>
      <c r="C1212" t="str">
        <f>"Transporte de mercadorias por caminhos-de-ferro"</f>
        <v>Transporte de mercadorias por caminhos-de-ferro</v>
      </c>
    </row>
    <row r="1213" spans="1:3" ht="15">
      <c r="A1213">
        <v>3</v>
      </c>
      <c r="B1213" t="str">
        <f>"493"</f>
        <v>493</v>
      </c>
      <c r="C1213" t="str">
        <f>"Outros transportes terrestres  de passageiros"</f>
        <v>Outros transportes terrestres  de passageiros</v>
      </c>
    </row>
    <row r="1214" spans="1:3" ht="15">
      <c r="A1214">
        <v>4</v>
      </c>
      <c r="B1214" t="str">
        <f>"4931"</f>
        <v>4931</v>
      </c>
      <c r="C1214" t="str">
        <f>"Transportes terrestres, urbanos e suburbanos, de passageiros"</f>
        <v>Transportes terrestres, urbanos e suburbanos, de passageiros</v>
      </c>
    </row>
    <row r="1215" spans="1:3" ht="15">
      <c r="A1215">
        <v>5</v>
      </c>
      <c r="B1215" t="str">
        <f>"49310"</f>
        <v>49310</v>
      </c>
      <c r="C1215" t="str">
        <f>"Transportes terrestres, urbanos e suburbanos, de passageiros"</f>
        <v>Transportes terrestres, urbanos e suburbanos, de passageiros</v>
      </c>
    </row>
    <row r="1216" spans="1:3" ht="15">
      <c r="A1216">
        <v>4</v>
      </c>
      <c r="B1216" t="str">
        <f>"4932"</f>
        <v>4932</v>
      </c>
      <c r="C1216" t="str">
        <f>"Transporte ocasional de passageiros em veículos ligeiros"</f>
        <v>Transporte ocasional de passageiros em veículos ligeiros</v>
      </c>
    </row>
    <row r="1217" spans="1:3" ht="15">
      <c r="A1217">
        <v>5</v>
      </c>
      <c r="B1217" t="str">
        <f>"49320"</f>
        <v>49320</v>
      </c>
      <c r="C1217" t="str">
        <f>"Transporte ocasional de passageiros em veículos ligeiros"</f>
        <v>Transporte ocasional de passageiros em veículos ligeiros</v>
      </c>
    </row>
    <row r="1218" spans="1:3" ht="15">
      <c r="A1218">
        <v>4</v>
      </c>
      <c r="B1218" t="str">
        <f>"4939"</f>
        <v>4939</v>
      </c>
      <c r="C1218" t="str">
        <f>"Outros transportes terrestres de passageiros, n.e"</f>
        <v>Outros transportes terrestres de passageiros, n.e</v>
      </c>
    </row>
    <row r="1219" spans="1:3" ht="15">
      <c r="A1219">
        <v>5</v>
      </c>
      <c r="B1219" t="str">
        <f>"49391"</f>
        <v>49391</v>
      </c>
      <c r="C1219" t="str">
        <f>"Transporte interurbano em autocarros"</f>
        <v>Transporte interurbano em autocarros</v>
      </c>
    </row>
    <row r="1220" spans="1:3" ht="15">
      <c r="A1220">
        <v>5</v>
      </c>
      <c r="B1220" t="str">
        <f>"49392"</f>
        <v>49392</v>
      </c>
      <c r="C1220" t="str">
        <f>"Outros transportes terrestres de passageiros diversos, n.e"</f>
        <v>Outros transportes terrestres de passageiros diversos, n.e</v>
      </c>
    </row>
    <row r="1221" spans="1:3" ht="15">
      <c r="A1221">
        <v>3</v>
      </c>
      <c r="B1221" t="str">
        <f>"494"</f>
        <v>494</v>
      </c>
      <c r="C1221" t="str">
        <f>"Transportes rodoviários de mercadorias e actividades de mudanças"</f>
        <v>Transportes rodoviários de mercadorias e actividades de mudanças</v>
      </c>
    </row>
    <row r="1222" spans="1:3" ht="15">
      <c r="A1222">
        <v>4</v>
      </c>
      <c r="B1222" t="str">
        <f>"4941"</f>
        <v>4941</v>
      </c>
      <c r="C1222" t="str">
        <f>"Transportes rodoviários de mercadorias"</f>
        <v>Transportes rodoviários de mercadorias</v>
      </c>
    </row>
    <row r="1223" spans="1:3" ht="15">
      <c r="A1223">
        <v>5</v>
      </c>
      <c r="B1223" t="str">
        <f>"49410"</f>
        <v>49410</v>
      </c>
      <c r="C1223" t="str">
        <f>"Transportes rodoviários de mercadorias"</f>
        <v>Transportes rodoviários de mercadorias</v>
      </c>
    </row>
    <row r="1224" spans="1:3" ht="15">
      <c r="A1224">
        <v>4</v>
      </c>
      <c r="B1224" t="str">
        <f>"4942"</f>
        <v>4942</v>
      </c>
      <c r="C1224" t="str">
        <f>"Actividades de mudanças, por via rodoviária"</f>
        <v>Actividades de mudanças, por via rodoviária</v>
      </c>
    </row>
    <row r="1225" spans="1:3" ht="15">
      <c r="A1225">
        <v>5</v>
      </c>
      <c r="B1225" t="str">
        <f>"49420"</f>
        <v>49420</v>
      </c>
      <c r="C1225" t="str">
        <f>"Actividades de mudanças, por via rodoviária"</f>
        <v>Actividades de mudanças, por via rodoviária</v>
      </c>
    </row>
    <row r="1226" spans="1:3" ht="15">
      <c r="A1226">
        <v>3</v>
      </c>
      <c r="B1226" t="str">
        <f>"495"</f>
        <v>495</v>
      </c>
      <c r="C1226" t="str">
        <f>"Transportes por oleodutos ou gasodutos"</f>
        <v>Transportes por oleodutos ou gasodutos</v>
      </c>
    </row>
    <row r="1227" spans="1:3" ht="15">
      <c r="A1227">
        <v>4</v>
      </c>
      <c r="B1227" t="str">
        <f>"4950"</f>
        <v>4950</v>
      </c>
      <c r="C1227" t="str">
        <f>"Transportes por oleodutos ou gasodutos "</f>
        <v>Transportes por oleodutos ou gasodutos </v>
      </c>
    </row>
    <row r="1228" spans="1:3" ht="15">
      <c r="A1228">
        <v>5</v>
      </c>
      <c r="B1228" t="str">
        <f>"49500"</f>
        <v>49500</v>
      </c>
      <c r="C1228" t="str">
        <f>"Transportes por oleodutos ou gasodutos "</f>
        <v>Transportes por oleodutos ou gasodutos </v>
      </c>
    </row>
    <row r="1229" spans="1:3" ht="15">
      <c r="A1229">
        <v>2</v>
      </c>
      <c r="B1229" t="str">
        <f>"50"</f>
        <v>50</v>
      </c>
      <c r="C1229" t="str">
        <f>"Transportes por água"</f>
        <v>Transportes por água</v>
      </c>
    </row>
    <row r="1230" spans="1:3" ht="15">
      <c r="A1230">
        <v>3</v>
      </c>
      <c r="B1230" t="str">
        <f>"501"</f>
        <v>501</v>
      </c>
      <c r="C1230" t="str">
        <f>"Transportes marítimos de passageiros"</f>
        <v>Transportes marítimos de passageiros</v>
      </c>
    </row>
    <row r="1231" spans="1:3" ht="15">
      <c r="A1231">
        <v>4</v>
      </c>
      <c r="B1231" t="str">
        <f>"5010"</f>
        <v>5010</v>
      </c>
      <c r="C1231" t="str">
        <f>"Transportes marítimos de passageiros "</f>
        <v>Transportes marítimos de passageiros </v>
      </c>
    </row>
    <row r="1232" spans="1:3" ht="15">
      <c r="A1232">
        <v>5</v>
      </c>
      <c r="B1232" t="str">
        <f>"50101"</f>
        <v>50101</v>
      </c>
      <c r="C1232" t="str">
        <f>"Transportes marítimos não costeiros de passageiros"</f>
        <v>Transportes marítimos não costeiros de passageiros</v>
      </c>
    </row>
    <row r="1233" spans="1:3" ht="15">
      <c r="A1233">
        <v>5</v>
      </c>
      <c r="B1233" t="str">
        <f>"50102"</f>
        <v>50102</v>
      </c>
      <c r="C1233" t="str">
        <f>"Transportes costeiros e locais de passageiros"</f>
        <v>Transportes costeiros e locais de passageiros</v>
      </c>
    </row>
    <row r="1234" spans="1:3" ht="15">
      <c r="A1234">
        <v>3</v>
      </c>
      <c r="B1234" t="str">
        <f>"502"</f>
        <v>502</v>
      </c>
      <c r="C1234" t="str">
        <f>"Transportes marítimos de mercadorias"</f>
        <v>Transportes marítimos de mercadorias</v>
      </c>
    </row>
    <row r="1235" spans="1:3" ht="15">
      <c r="A1235">
        <v>4</v>
      </c>
      <c r="B1235" t="str">
        <f>"5020"</f>
        <v>5020</v>
      </c>
      <c r="C1235" t="str">
        <f>"Transportes marítimos de mercadorias "</f>
        <v>Transportes marítimos de mercadorias </v>
      </c>
    </row>
    <row r="1236" spans="1:3" ht="15">
      <c r="A1236">
        <v>5</v>
      </c>
      <c r="B1236" t="str">
        <f>"50200"</f>
        <v>50200</v>
      </c>
      <c r="C1236" t="str">
        <f>"Transportes marítimos de mercadorias "</f>
        <v>Transportes marítimos de mercadorias </v>
      </c>
    </row>
    <row r="1237" spans="1:3" ht="15">
      <c r="A1237">
        <v>3</v>
      </c>
      <c r="B1237" t="str">
        <f>"503"</f>
        <v>503</v>
      </c>
      <c r="C1237" t="str">
        <f>"Transportes de passageiros por vias navegáveis interiores"</f>
        <v>Transportes de passageiros por vias navegáveis interiores</v>
      </c>
    </row>
    <row r="1238" spans="1:3" ht="15">
      <c r="A1238">
        <v>4</v>
      </c>
      <c r="B1238" t="str">
        <f>"5030"</f>
        <v>5030</v>
      </c>
      <c r="C1238" t="str">
        <f>"Transportes de passageiros por vias navegáveis interiores "</f>
        <v>Transportes de passageiros por vias navegáveis interiores </v>
      </c>
    </row>
    <row r="1239" spans="1:3" ht="15">
      <c r="A1239">
        <v>5</v>
      </c>
      <c r="B1239" t="str">
        <f>"50300"</f>
        <v>50300</v>
      </c>
      <c r="C1239" t="str">
        <f>"Transportes de passageiros por vias navegáveis interiores "</f>
        <v>Transportes de passageiros por vias navegáveis interiores </v>
      </c>
    </row>
    <row r="1240" spans="1:3" ht="15">
      <c r="A1240">
        <v>3</v>
      </c>
      <c r="B1240" t="str">
        <f>"504"</f>
        <v>504</v>
      </c>
      <c r="C1240" t="str">
        <f>"Transportes de mercadorias por vias navegáveis interiores "</f>
        <v>Transportes de mercadorias por vias navegáveis interiores </v>
      </c>
    </row>
    <row r="1241" spans="1:3" ht="15">
      <c r="A1241">
        <v>4</v>
      </c>
      <c r="B1241" t="str">
        <f>"5040"</f>
        <v>5040</v>
      </c>
      <c r="C1241" t="str">
        <f>"Transportes de mercadorias por vias navegáveis interiores "</f>
        <v>Transportes de mercadorias por vias navegáveis interiores </v>
      </c>
    </row>
    <row r="1242" spans="1:3" ht="15">
      <c r="A1242">
        <v>5</v>
      </c>
      <c r="B1242" t="str">
        <f>"50400"</f>
        <v>50400</v>
      </c>
      <c r="C1242" t="str">
        <f>"Transportes de mercadorias por vias navegáveis interiores"</f>
        <v>Transportes de mercadorias por vias navegáveis interiores</v>
      </c>
    </row>
    <row r="1243" spans="1:3" ht="15">
      <c r="A1243">
        <v>2</v>
      </c>
      <c r="B1243" t="str">
        <f>"51"</f>
        <v>51</v>
      </c>
      <c r="C1243" t="str">
        <f>"Transportes aéreos"</f>
        <v>Transportes aéreos</v>
      </c>
    </row>
    <row r="1244" spans="1:3" ht="15">
      <c r="A1244">
        <v>3</v>
      </c>
      <c r="B1244" t="str">
        <f>"511"</f>
        <v>511</v>
      </c>
      <c r="C1244" t="str">
        <f>"Transportes aéreos de passageiros"</f>
        <v>Transportes aéreos de passageiros</v>
      </c>
    </row>
    <row r="1245" spans="1:3" ht="15">
      <c r="A1245">
        <v>4</v>
      </c>
      <c r="B1245" t="str">
        <f>"5110"</f>
        <v>5110</v>
      </c>
      <c r="C1245" t="str">
        <f>"Transportes aéreos de passageiros"</f>
        <v>Transportes aéreos de passageiros</v>
      </c>
    </row>
    <row r="1246" spans="1:3" ht="15">
      <c r="A1246">
        <v>5</v>
      </c>
      <c r="B1246" t="str">
        <f>"51100"</f>
        <v>51100</v>
      </c>
      <c r="C1246" t="str">
        <f>"Transportes aéreos de passageiros"</f>
        <v>Transportes aéreos de passageiros</v>
      </c>
    </row>
    <row r="1247" spans="1:3" ht="15">
      <c r="A1247">
        <v>3</v>
      </c>
      <c r="B1247" t="str">
        <f>"512"</f>
        <v>512</v>
      </c>
      <c r="C1247" t="str">
        <f>"Transportes aéreos de mercadorias e transportes espaciais"</f>
        <v>Transportes aéreos de mercadorias e transportes espaciais</v>
      </c>
    </row>
    <row r="1248" spans="1:3" ht="15">
      <c r="A1248">
        <v>4</v>
      </c>
      <c r="B1248" t="str">
        <f>"5121"</f>
        <v>5121</v>
      </c>
      <c r="C1248" t="str">
        <f>"Transportes aéreos de mercadorias"</f>
        <v>Transportes aéreos de mercadorias</v>
      </c>
    </row>
    <row r="1249" spans="1:3" ht="15">
      <c r="A1249">
        <v>5</v>
      </c>
      <c r="B1249" t="str">
        <f>"51210"</f>
        <v>51210</v>
      </c>
      <c r="C1249" t="str">
        <f>"Transportes aéreos de mercadorias"</f>
        <v>Transportes aéreos de mercadorias</v>
      </c>
    </row>
    <row r="1250" spans="1:3" ht="15">
      <c r="A1250">
        <v>4</v>
      </c>
      <c r="B1250" t="str">
        <f>"5122"</f>
        <v>5122</v>
      </c>
      <c r="C1250" t="str">
        <f>"Transportes espaciais"</f>
        <v>Transportes espaciais</v>
      </c>
    </row>
    <row r="1251" spans="1:3" ht="15">
      <c r="A1251">
        <v>5</v>
      </c>
      <c r="B1251" t="str">
        <f>"51220"</f>
        <v>51220</v>
      </c>
      <c r="C1251" t="str">
        <f>"Transportes espaciais"</f>
        <v>Transportes espaciais</v>
      </c>
    </row>
    <row r="1252" spans="1:3" ht="15">
      <c r="A1252">
        <v>2</v>
      </c>
      <c r="B1252" t="str">
        <f>"52"</f>
        <v>52</v>
      </c>
      <c r="C1252" t="str">
        <f>"Armazenagem e actividades auxiliares dos transportes(inclui manuseamento)"</f>
        <v>Armazenagem e actividades auxiliares dos transportes(inclui manuseamento)</v>
      </c>
    </row>
    <row r="1253" spans="1:3" ht="15">
      <c r="A1253">
        <v>3</v>
      </c>
      <c r="B1253" t="str">
        <f>"521"</f>
        <v>521</v>
      </c>
      <c r="C1253" t="str">
        <f>"Armazenagem"</f>
        <v>Armazenagem</v>
      </c>
    </row>
    <row r="1254" spans="1:3" ht="15">
      <c r="A1254">
        <v>4</v>
      </c>
      <c r="B1254" t="str">
        <f>"5210"</f>
        <v>5210</v>
      </c>
      <c r="C1254" t="str">
        <f>"Armazenagem"</f>
        <v>Armazenagem</v>
      </c>
    </row>
    <row r="1255" spans="1:3" ht="15">
      <c r="A1255">
        <v>5</v>
      </c>
      <c r="B1255" t="str">
        <f>"52101"</f>
        <v>52101</v>
      </c>
      <c r="C1255" t="str">
        <f>"Armazenagem frigorífica"</f>
        <v>Armazenagem frigorífica</v>
      </c>
    </row>
    <row r="1256" spans="1:3" ht="15">
      <c r="A1256">
        <v>5</v>
      </c>
      <c r="B1256" t="str">
        <f>"52102"</f>
        <v>52102</v>
      </c>
      <c r="C1256" t="str">
        <f>"Armazenagem não frigorífica"</f>
        <v>Armazenagem não frigorífica</v>
      </c>
    </row>
    <row r="1257" spans="1:3" ht="15">
      <c r="A1257">
        <v>3</v>
      </c>
      <c r="B1257" t="str">
        <f>"522"</f>
        <v>522</v>
      </c>
      <c r="C1257" t="str">
        <f>"Actividades auxiliares dos transportes"</f>
        <v>Actividades auxiliares dos transportes</v>
      </c>
    </row>
    <row r="1258" spans="1:3" ht="15">
      <c r="A1258">
        <v>4</v>
      </c>
      <c r="B1258" t="str">
        <f>"5221"</f>
        <v>5221</v>
      </c>
      <c r="C1258" t="str">
        <f>"Actividades auxiliares e de gestão de infra-estruturas dos transportes terrestres"</f>
        <v>Actividades auxiliares e de gestão de infra-estruturas dos transportes terrestres</v>
      </c>
    </row>
    <row r="1259" spans="1:3" ht="15">
      <c r="A1259">
        <v>5</v>
      </c>
      <c r="B1259" t="str">
        <f>"52211"</f>
        <v>52211</v>
      </c>
      <c r="C1259" t="str">
        <f>"Gestão de infra-estruturas dos transportes terrestres"</f>
        <v>Gestão de infra-estruturas dos transportes terrestres</v>
      </c>
    </row>
    <row r="1260" spans="1:3" ht="15">
      <c r="A1260">
        <v>5</v>
      </c>
      <c r="B1260" t="str">
        <f>"52212"</f>
        <v>52212</v>
      </c>
      <c r="C1260" t="str">
        <f>"Assistência a veículos na estrada"</f>
        <v>Assistência a veículos na estrada</v>
      </c>
    </row>
    <row r="1261" spans="1:3" ht="15">
      <c r="A1261">
        <v>5</v>
      </c>
      <c r="B1261" t="str">
        <f>"52213"</f>
        <v>52213</v>
      </c>
      <c r="C1261" t="str">
        <f>"Outras actividades auxiliares dos transportes terrestres"</f>
        <v>Outras actividades auxiliares dos transportes terrestres</v>
      </c>
    </row>
    <row r="1262" spans="1:3" ht="15">
      <c r="A1262">
        <v>4</v>
      </c>
      <c r="B1262" t="str">
        <f>"5222"</f>
        <v>5222</v>
      </c>
      <c r="C1262" t="str">
        <f>"Actividades auxiliares dos transportes por água"</f>
        <v>Actividades auxiliares dos transportes por água</v>
      </c>
    </row>
    <row r="1263" spans="1:3" ht="15">
      <c r="A1263">
        <v>5</v>
      </c>
      <c r="B1263" t="str">
        <f>"52220"</f>
        <v>52220</v>
      </c>
      <c r="C1263" t="str">
        <f>"Actividades auxiliares dos transportes por água"</f>
        <v>Actividades auxiliares dos transportes por água</v>
      </c>
    </row>
    <row r="1264" spans="1:3" ht="15">
      <c r="A1264">
        <v>4</v>
      </c>
      <c r="B1264" t="str">
        <f>"5223"</f>
        <v>5223</v>
      </c>
      <c r="C1264" t="str">
        <f>"Actividades auxiliares dos transportes aéreos"</f>
        <v>Actividades auxiliares dos transportes aéreos</v>
      </c>
    </row>
    <row r="1265" spans="1:3" ht="15">
      <c r="A1265">
        <v>5</v>
      </c>
      <c r="B1265" t="str">
        <f>"52230"</f>
        <v>52230</v>
      </c>
      <c r="C1265" t="str">
        <f>"Actividades auxiliares dos transportes aéreos"</f>
        <v>Actividades auxiliares dos transportes aéreos</v>
      </c>
    </row>
    <row r="1266" spans="1:3" ht="15">
      <c r="A1266">
        <v>4</v>
      </c>
      <c r="B1266" t="str">
        <f>"5224"</f>
        <v>5224</v>
      </c>
      <c r="C1266" t="str">
        <f>"Manuseamento de carga"</f>
        <v>Manuseamento de carga</v>
      </c>
    </row>
    <row r="1267" spans="1:3" ht="15">
      <c r="A1267">
        <v>5</v>
      </c>
      <c r="B1267" t="str">
        <f>"52240"</f>
        <v>52240</v>
      </c>
      <c r="C1267" t="str">
        <f>"Manuseamento de carga"</f>
        <v>Manuseamento de carga</v>
      </c>
    </row>
    <row r="1268" spans="1:3" ht="15">
      <c r="A1268">
        <v>4</v>
      </c>
      <c r="B1268" t="str">
        <f>"5229"</f>
        <v>5229</v>
      </c>
      <c r="C1268" t="str">
        <f>"Actividades dos agentes transitários, aduaneiros e de outras actividades de apoio ao transporte"</f>
        <v>Actividades dos agentes transitários, aduaneiros e de outras actividades de apoio ao transporte</v>
      </c>
    </row>
    <row r="1269" spans="1:3" ht="15">
      <c r="A1269">
        <v>5</v>
      </c>
      <c r="B1269" t="str">
        <f>"52291"</f>
        <v>52291</v>
      </c>
      <c r="C1269" t="str">
        <f>"Organização do transporte"</f>
        <v>Organização do transporte</v>
      </c>
    </row>
    <row r="1270" spans="1:3" ht="15">
      <c r="A1270">
        <v>5</v>
      </c>
      <c r="B1270" t="str">
        <f>"52292"</f>
        <v>52292</v>
      </c>
      <c r="C1270" t="str">
        <f>"Agentes aduaneiros e similares de apoio ao transporte"</f>
        <v>Agentes aduaneiros e similares de apoio ao transporte</v>
      </c>
    </row>
    <row r="1271" spans="1:3" ht="15">
      <c r="A1271">
        <v>2</v>
      </c>
      <c r="B1271" t="str">
        <f>"53"</f>
        <v>53</v>
      </c>
      <c r="C1271" t="str">
        <f>"Actividades postais e de courier"</f>
        <v>Actividades postais e de courier</v>
      </c>
    </row>
    <row r="1272" spans="1:3" ht="15">
      <c r="A1272">
        <v>3</v>
      </c>
      <c r="B1272" t="str">
        <f>"531"</f>
        <v>531</v>
      </c>
      <c r="C1272" t="str">
        <f>"Actividades postais sujeitas a obrigações do serviço universal"</f>
        <v>Actividades postais sujeitas a obrigações do serviço universal</v>
      </c>
    </row>
    <row r="1273" spans="1:3" ht="15">
      <c r="A1273">
        <v>4</v>
      </c>
      <c r="B1273" t="str">
        <f>"5310"</f>
        <v>5310</v>
      </c>
      <c r="C1273" t="str">
        <f>"Actividades postais sujeitas a obrigações do serviço universal"</f>
        <v>Actividades postais sujeitas a obrigações do serviço universal</v>
      </c>
    </row>
    <row r="1274" spans="1:3" ht="15">
      <c r="A1274">
        <v>5</v>
      </c>
      <c r="B1274" t="str">
        <f>"53100"</f>
        <v>53100</v>
      </c>
      <c r="C1274" t="str">
        <f>"Actividades postais sujeitas a obrigações do serviço universal"</f>
        <v>Actividades postais sujeitas a obrigações do serviço universal</v>
      </c>
    </row>
    <row r="1275" spans="1:3" ht="15">
      <c r="A1275">
        <v>3</v>
      </c>
      <c r="B1275" t="str">
        <f>"532"</f>
        <v>532</v>
      </c>
      <c r="C1275" t="str">
        <f>"Outras actividades postais e de courier"</f>
        <v>Outras actividades postais e de courier</v>
      </c>
    </row>
    <row r="1276" spans="1:3" ht="15">
      <c r="A1276">
        <v>4</v>
      </c>
      <c r="B1276" t="str">
        <f>"5320"</f>
        <v>5320</v>
      </c>
      <c r="C1276" t="str">
        <f>"Outras actividades postais e de courier"</f>
        <v>Outras actividades postais e de courier</v>
      </c>
    </row>
    <row r="1277" spans="1:3" ht="15">
      <c r="A1277">
        <v>5</v>
      </c>
      <c r="B1277" t="str">
        <f>"53200"</f>
        <v>53200</v>
      </c>
      <c r="C1277" t="str">
        <f>"Outras actividades postais e de courier"</f>
        <v>Outras actividades postais e de courier</v>
      </c>
    </row>
    <row r="1278" spans="1:3" ht="15">
      <c r="A1278">
        <v>1</v>
      </c>
      <c r="B1278" t="str">
        <f>"I"</f>
        <v>I</v>
      </c>
      <c r="C1278" t="str">
        <f>"Alojamento, restauração e similares"</f>
        <v>Alojamento, restauração e similares</v>
      </c>
    </row>
    <row r="1279" spans="1:3" ht="15">
      <c r="A1279">
        <v>2</v>
      </c>
      <c r="B1279" t="str">
        <f>"55"</f>
        <v>55</v>
      </c>
      <c r="C1279" t="str">
        <f>"Alojamento"</f>
        <v>Alojamento</v>
      </c>
    </row>
    <row r="1280" spans="1:3" ht="15">
      <c r="A1280">
        <v>3</v>
      </c>
      <c r="B1280" t="str">
        <f>"551"</f>
        <v>551</v>
      </c>
      <c r="C1280" t="str">
        <f>"Estabelecimentos hoteleiros"</f>
        <v>Estabelecimentos hoteleiros</v>
      </c>
    </row>
    <row r="1281" spans="1:3" ht="15">
      <c r="A1281">
        <v>4</v>
      </c>
      <c r="B1281" t="str">
        <f>"5511"</f>
        <v>5511</v>
      </c>
      <c r="C1281" t="str">
        <f>"Estabelecimentos hoteleiros com restaurante"</f>
        <v>Estabelecimentos hoteleiros com restaurante</v>
      </c>
    </row>
    <row r="1282" spans="1:3" ht="15">
      <c r="A1282">
        <v>5</v>
      </c>
      <c r="B1282" t="str">
        <f>"55111"</f>
        <v>55111</v>
      </c>
      <c r="C1282" t="str">
        <f>"Hotéis com restaurante"</f>
        <v>Hotéis com restaurante</v>
      </c>
    </row>
    <row r="1283" spans="1:3" ht="15">
      <c r="A1283">
        <v>5</v>
      </c>
      <c r="B1283" t="str">
        <f>"55112"</f>
        <v>55112</v>
      </c>
      <c r="C1283" t="str">
        <f>"Pensões com restaurante"</f>
        <v>Pensões com restaurante</v>
      </c>
    </row>
    <row r="1284" spans="1:3" ht="15">
      <c r="A1284">
        <v>5</v>
      </c>
      <c r="B1284" t="str">
        <f>"55113"</f>
        <v>55113</v>
      </c>
      <c r="C1284" t="str">
        <f>"Estalagens com restaurante"</f>
        <v>Estalagens com restaurante</v>
      </c>
    </row>
    <row r="1285" spans="1:3" ht="15">
      <c r="A1285">
        <v>5</v>
      </c>
      <c r="B1285" t="str">
        <f>"55114"</f>
        <v>55114</v>
      </c>
      <c r="C1285" t="str">
        <f>"Pousadas com restaurante"</f>
        <v>Pousadas com restaurante</v>
      </c>
    </row>
    <row r="1286" spans="1:3" ht="15">
      <c r="A1286">
        <v>5</v>
      </c>
      <c r="B1286" t="str">
        <f>"55115"</f>
        <v>55115</v>
      </c>
      <c r="C1286" t="str">
        <f>"Motéis com restaurante"</f>
        <v>Motéis com restaurante</v>
      </c>
    </row>
    <row r="1287" spans="1:3" ht="15">
      <c r="A1287">
        <v>5</v>
      </c>
      <c r="B1287" t="str">
        <f>"55116"</f>
        <v>55116</v>
      </c>
      <c r="C1287" t="str">
        <f>"Hotéis-Apartamentos com restaurante"</f>
        <v>Hotéis-Apartamentos com restaurante</v>
      </c>
    </row>
    <row r="1288" spans="1:3" ht="15">
      <c r="A1288">
        <v>5</v>
      </c>
      <c r="B1288" t="str">
        <f>"55117"</f>
        <v>55117</v>
      </c>
      <c r="C1288" t="str">
        <f>"Aldeamentos turísticos com restaurante"</f>
        <v>Aldeamentos turísticos com restaurante</v>
      </c>
    </row>
    <row r="1289" spans="1:3" ht="15">
      <c r="A1289">
        <v>5</v>
      </c>
      <c r="B1289" t="str">
        <f>"55118"</f>
        <v>55118</v>
      </c>
      <c r="C1289" t="str">
        <f>"Apartamentos turísticos com restaurante"</f>
        <v>Apartamentos turísticos com restaurante</v>
      </c>
    </row>
    <row r="1290" spans="1:3" ht="15">
      <c r="A1290">
        <v>5</v>
      </c>
      <c r="B1290" t="str">
        <f>"55119"</f>
        <v>55119</v>
      </c>
      <c r="C1290" t="str">
        <f>"Outros estabelecimentos hoteleiros com restaurante"</f>
        <v>Outros estabelecimentos hoteleiros com restaurante</v>
      </c>
    </row>
    <row r="1291" spans="1:3" ht="15">
      <c r="A1291">
        <v>4</v>
      </c>
      <c r="B1291" t="str">
        <f>"5512"</f>
        <v>5512</v>
      </c>
      <c r="C1291" t="str">
        <f>"Estabelecimentos hoteleiros sem restaurante "</f>
        <v>Estabelecimentos hoteleiros sem restaurante </v>
      </c>
    </row>
    <row r="1292" spans="1:3" ht="15">
      <c r="A1292">
        <v>5</v>
      </c>
      <c r="B1292" t="str">
        <f>"55121"</f>
        <v>55121</v>
      </c>
      <c r="C1292" t="str">
        <f>"Hotéis sem restaurante"</f>
        <v>Hotéis sem restaurante</v>
      </c>
    </row>
    <row r="1293" spans="1:3" ht="15">
      <c r="A1293">
        <v>5</v>
      </c>
      <c r="B1293" t="str">
        <f>"55122"</f>
        <v>55122</v>
      </c>
      <c r="C1293" t="str">
        <f>"Pensões sem restaurante"</f>
        <v>Pensões sem restaurante</v>
      </c>
    </row>
    <row r="1294" spans="1:3" ht="15">
      <c r="A1294">
        <v>5</v>
      </c>
      <c r="B1294" t="str">
        <f>"55123"</f>
        <v>55123</v>
      </c>
      <c r="C1294" t="str">
        <f>"Apartamentos turísticos sem restaurante"</f>
        <v>Apartamentos turísticos sem restaurante</v>
      </c>
    </row>
    <row r="1295" spans="1:3" ht="15">
      <c r="A1295">
        <v>5</v>
      </c>
      <c r="B1295" t="str">
        <f>"55124"</f>
        <v>55124</v>
      </c>
      <c r="C1295" t="str">
        <f>"Outros estabelecimentos hoteleiros sem restaurante"</f>
        <v>Outros estabelecimentos hoteleiros sem restaurante</v>
      </c>
    </row>
    <row r="1296" spans="1:3" ht="15">
      <c r="A1296">
        <v>3</v>
      </c>
      <c r="B1296" t="str">
        <f>"552"</f>
        <v>552</v>
      </c>
      <c r="C1296" t="str">
        <f>"Residencias para férias e outros alojamentos de curta duração"</f>
        <v>Residencias para férias e outros alojamentos de curta duração</v>
      </c>
    </row>
    <row r="1297" spans="1:3" ht="15">
      <c r="A1297">
        <v>4</v>
      </c>
      <c r="B1297" t="str">
        <f>"5520"</f>
        <v>5520</v>
      </c>
      <c r="C1297" t="str">
        <f>"Residencias para férias e outros alojamentos de curta duração"</f>
        <v>Residencias para férias e outros alojamentos de curta duração</v>
      </c>
    </row>
    <row r="1298" spans="1:3" ht="15">
      <c r="A1298">
        <v>5</v>
      </c>
      <c r="B1298" t="str">
        <f>"55201"</f>
        <v>55201</v>
      </c>
      <c r="C1298" t="str">
        <f>"Alojamento mobilado para turistas"</f>
        <v>Alojamento mobilado para turistas</v>
      </c>
    </row>
    <row r="1299" spans="1:3" ht="15">
      <c r="A1299">
        <v>5</v>
      </c>
      <c r="B1299" t="str">
        <f>"55202"</f>
        <v>55202</v>
      </c>
      <c r="C1299" t="str">
        <f>"Turismo no espaço rural"</f>
        <v>Turismo no espaço rural</v>
      </c>
    </row>
    <row r="1300" spans="1:3" ht="15">
      <c r="A1300">
        <v>5</v>
      </c>
      <c r="B1300" t="str">
        <f>"55203"</f>
        <v>55203</v>
      </c>
      <c r="C1300" t="str">
        <f>"Colónias e campos de férias "</f>
        <v>Colónias e campos de férias </v>
      </c>
    </row>
    <row r="1301" spans="1:3" ht="15">
      <c r="A1301">
        <v>5</v>
      </c>
      <c r="B1301" t="str">
        <f>"55204"</f>
        <v>55204</v>
      </c>
      <c r="C1301" t="str">
        <f>"Outros locais de alojamento de curta duração "</f>
        <v>Outros locais de alojamento de curta duração </v>
      </c>
    </row>
    <row r="1302" spans="1:3" ht="15">
      <c r="A1302">
        <v>3</v>
      </c>
      <c r="B1302" t="str">
        <f>"553"</f>
        <v>553</v>
      </c>
      <c r="C1302" t="str">
        <f>"Parques de campismo e de caravanismo"</f>
        <v>Parques de campismo e de caravanismo</v>
      </c>
    </row>
    <row r="1303" spans="1:3" ht="15">
      <c r="A1303">
        <v>4</v>
      </c>
      <c r="B1303" t="str">
        <f>"5530"</f>
        <v>5530</v>
      </c>
      <c r="C1303" t="str">
        <f>"Parques de campismo e de caravanismo"</f>
        <v>Parques de campismo e de caravanismo</v>
      </c>
    </row>
    <row r="1304" spans="1:3" ht="15">
      <c r="A1304">
        <v>5</v>
      </c>
      <c r="B1304" t="str">
        <f>"55300"</f>
        <v>55300</v>
      </c>
      <c r="C1304" t="str">
        <f>"Parques de campismo e de caravanismo"</f>
        <v>Parques de campismo e de caravanismo</v>
      </c>
    </row>
    <row r="1305" spans="1:3" ht="15">
      <c r="A1305">
        <v>3</v>
      </c>
      <c r="B1305" t="str">
        <f>"559"</f>
        <v>559</v>
      </c>
      <c r="C1305" t="str">
        <f>"Outros locais de alojamento"</f>
        <v>Outros locais de alojamento</v>
      </c>
    </row>
    <row r="1306" spans="1:3" ht="15">
      <c r="A1306">
        <v>4</v>
      </c>
      <c r="B1306" t="str">
        <f>"5590"</f>
        <v>5590</v>
      </c>
      <c r="C1306" t="str">
        <f>"Outros locais de alojamento"</f>
        <v>Outros locais de alojamento</v>
      </c>
    </row>
    <row r="1307" spans="1:3" ht="15">
      <c r="A1307">
        <v>5</v>
      </c>
      <c r="B1307" t="str">
        <f>"55900"</f>
        <v>55900</v>
      </c>
      <c r="C1307" t="str">
        <f>"Outros locais de alojamento"</f>
        <v>Outros locais de alojamento</v>
      </c>
    </row>
    <row r="1308" spans="1:3" ht="15">
      <c r="A1308">
        <v>2</v>
      </c>
      <c r="B1308" t="str">
        <f>"56"</f>
        <v>56</v>
      </c>
      <c r="C1308" t="str">
        <f>"Restauração e similares"</f>
        <v>Restauração e similares</v>
      </c>
    </row>
    <row r="1309" spans="1:3" ht="15">
      <c r="A1309">
        <v>3</v>
      </c>
      <c r="B1309" t="str">
        <f>"561"</f>
        <v>561</v>
      </c>
      <c r="C1309" t="str">
        <f>"Restaurantes (inclui actividades de restauração em meios móveis)"</f>
        <v>Restaurantes (inclui actividades de restauração em meios móveis)</v>
      </c>
    </row>
    <row r="1310" spans="1:3" ht="15">
      <c r="A1310">
        <v>4</v>
      </c>
      <c r="B1310" t="str">
        <f>"5610"</f>
        <v>5610</v>
      </c>
      <c r="C1310" t="str">
        <f>"Restaurantes (inclui actividades de restauração em meios móveis)"</f>
        <v>Restaurantes (inclui actividades de restauração em meios móveis)</v>
      </c>
    </row>
    <row r="1311" spans="1:3" ht="15">
      <c r="A1311">
        <v>5</v>
      </c>
      <c r="B1311" t="str">
        <f>"56101"</f>
        <v>56101</v>
      </c>
      <c r="C1311" t="str">
        <f>"Restaurantes tipo tradicional"</f>
        <v>Restaurantes tipo tradicional</v>
      </c>
    </row>
    <row r="1312" spans="1:3" ht="15">
      <c r="A1312">
        <v>5</v>
      </c>
      <c r="B1312" t="str">
        <f>"56102"</f>
        <v>56102</v>
      </c>
      <c r="C1312" t="str">
        <f>"Restaurantes com lugares ao balcão"</f>
        <v>Restaurantes com lugares ao balcão</v>
      </c>
    </row>
    <row r="1313" spans="1:3" ht="15">
      <c r="A1313">
        <v>5</v>
      </c>
      <c r="B1313" t="str">
        <f>"56103"</f>
        <v>56103</v>
      </c>
      <c r="C1313" t="str">
        <f>"Restaurantes sem serviço de mesa "</f>
        <v>Restaurantes sem serviço de mesa </v>
      </c>
    </row>
    <row r="1314" spans="1:3" ht="15">
      <c r="A1314">
        <v>5</v>
      </c>
      <c r="B1314" t="str">
        <f>"56104"</f>
        <v>56104</v>
      </c>
      <c r="C1314" t="str">
        <f>"Restaurantes típicos"</f>
        <v>Restaurantes típicos</v>
      </c>
    </row>
    <row r="1315" spans="1:3" ht="15">
      <c r="A1315">
        <v>5</v>
      </c>
      <c r="B1315" t="str">
        <f>"56105"</f>
        <v>56105</v>
      </c>
      <c r="C1315" t="str">
        <f>"Restaurantes com espaço de dança"</f>
        <v>Restaurantes com espaço de dança</v>
      </c>
    </row>
    <row r="1316" spans="1:3" ht="15">
      <c r="A1316">
        <v>5</v>
      </c>
      <c r="B1316" t="str">
        <f>"56106"</f>
        <v>56106</v>
      </c>
      <c r="C1316" t="str">
        <f>"Confecção de refeições prontas a levar para casa"</f>
        <v>Confecção de refeições prontas a levar para casa</v>
      </c>
    </row>
    <row r="1317" spans="1:3" ht="15">
      <c r="A1317">
        <v>5</v>
      </c>
      <c r="B1317" t="str">
        <f>"56107"</f>
        <v>56107</v>
      </c>
      <c r="C1317" t="str">
        <f>"Restaurantes, n.e. (inclui actividades de restauração em meios móveis)"</f>
        <v>Restaurantes, n.e. (inclui actividades de restauração em meios móveis)</v>
      </c>
    </row>
    <row r="1318" spans="1:3" ht="15">
      <c r="A1318">
        <v>3</v>
      </c>
      <c r="B1318" t="str">
        <f>"562"</f>
        <v>562</v>
      </c>
      <c r="C1318" t="str">
        <f>"Fornecimento de refeições para eventos e outras actividades de serviço de refeições  "</f>
        <v>Fornecimento de refeições para eventos e outras actividades de serviço de refeições  </v>
      </c>
    </row>
    <row r="1319" spans="1:3" ht="15">
      <c r="A1319">
        <v>4</v>
      </c>
      <c r="B1319" t="str">
        <f>"5621"</f>
        <v>5621</v>
      </c>
      <c r="C1319" t="str">
        <f>"Fornecimento de refeições para eventos "</f>
        <v>Fornecimento de refeições para eventos </v>
      </c>
    </row>
    <row r="1320" spans="1:3" ht="15">
      <c r="A1320">
        <v>5</v>
      </c>
      <c r="B1320" t="str">
        <f>"56210"</f>
        <v>56210</v>
      </c>
      <c r="C1320" t="str">
        <f>"Fornecimento de refeições para eventos"</f>
        <v>Fornecimento de refeições para eventos</v>
      </c>
    </row>
    <row r="1321" spans="1:3" ht="15">
      <c r="A1321">
        <v>4</v>
      </c>
      <c r="B1321" t="str">
        <f>"5629"</f>
        <v>5629</v>
      </c>
      <c r="C1321" t="str">
        <f>"Outras actividades de serviço  de refeições"</f>
        <v>Outras actividades de serviço  de refeições</v>
      </c>
    </row>
    <row r="1322" spans="1:3" ht="15">
      <c r="A1322">
        <v>5</v>
      </c>
      <c r="B1322" t="str">
        <f>"56290"</f>
        <v>56290</v>
      </c>
      <c r="C1322" t="str">
        <f>"Outras actividades de serviço  de refeições"</f>
        <v>Outras actividades de serviço  de refeições</v>
      </c>
    </row>
    <row r="1323" spans="1:3" ht="15">
      <c r="A1323">
        <v>3</v>
      </c>
      <c r="B1323" t="str">
        <f>"563"</f>
        <v>563</v>
      </c>
      <c r="C1323" t="str">
        <f>"Estabelecimentos de bebidas"</f>
        <v>Estabelecimentos de bebidas</v>
      </c>
    </row>
    <row r="1324" spans="1:3" ht="15">
      <c r="A1324">
        <v>4</v>
      </c>
      <c r="B1324" t="str">
        <f>"5630"</f>
        <v>5630</v>
      </c>
      <c r="C1324" t="str">
        <f>"Estabelecimentos de bebidas"</f>
        <v>Estabelecimentos de bebidas</v>
      </c>
    </row>
    <row r="1325" spans="1:3" ht="15">
      <c r="A1325">
        <v>5</v>
      </c>
      <c r="B1325" t="str">
        <f>"56301"</f>
        <v>56301</v>
      </c>
      <c r="C1325" t="str">
        <f>"Cafés"</f>
        <v>Cafés</v>
      </c>
    </row>
    <row r="1326" spans="1:3" ht="15">
      <c r="A1326">
        <v>5</v>
      </c>
      <c r="B1326" t="str">
        <f>"56302"</f>
        <v>56302</v>
      </c>
      <c r="C1326" t="str">
        <f>"Bares"</f>
        <v>Bares</v>
      </c>
    </row>
    <row r="1327" spans="1:3" ht="15">
      <c r="A1327">
        <v>5</v>
      </c>
      <c r="B1327" t="str">
        <f>"56303"</f>
        <v>56303</v>
      </c>
      <c r="C1327" t="str">
        <f>"Pastelarias e casas de chá"</f>
        <v>Pastelarias e casas de chá</v>
      </c>
    </row>
    <row r="1328" spans="1:3" ht="15">
      <c r="A1328">
        <v>5</v>
      </c>
      <c r="B1328" t="str">
        <f>"56304"</f>
        <v>56304</v>
      </c>
      <c r="C1328" t="str">
        <f>"Outros estabelecimentos de bebidas sem espectáculo"</f>
        <v>Outros estabelecimentos de bebidas sem espectáculo</v>
      </c>
    </row>
    <row r="1329" spans="1:3" ht="15">
      <c r="A1329">
        <v>5</v>
      </c>
      <c r="B1329" t="str">
        <f>"56305"</f>
        <v>56305</v>
      </c>
      <c r="C1329" t="str">
        <f>"Estabelecimentos de bebidas com espaço de dança "</f>
        <v>Estabelecimentos de bebidas com espaço de dança </v>
      </c>
    </row>
    <row r="1330" spans="1:3" ht="15">
      <c r="A1330">
        <v>1</v>
      </c>
      <c r="B1330" t="str">
        <f>"J"</f>
        <v>J</v>
      </c>
      <c r="C1330" t="str">
        <f>"Actividades de informação e de comunicação "</f>
        <v>Actividades de informação e de comunicação </v>
      </c>
    </row>
    <row r="1331" spans="1:3" ht="15">
      <c r="A1331">
        <v>2</v>
      </c>
      <c r="B1331" t="str">
        <f>"58"</f>
        <v>58</v>
      </c>
      <c r="C1331" t="str">
        <f>"Actividades de edição "</f>
        <v>Actividades de edição </v>
      </c>
    </row>
    <row r="1332" spans="1:3" ht="15">
      <c r="A1332">
        <v>3</v>
      </c>
      <c r="B1332" t="str">
        <f>"581"</f>
        <v>581</v>
      </c>
      <c r="C1332" t="str">
        <f>"Edição  de livros, de jornais e de outras publicações"</f>
        <v>Edição  de livros, de jornais e de outras publicações</v>
      </c>
    </row>
    <row r="1333" spans="1:3" ht="15">
      <c r="A1333">
        <v>4</v>
      </c>
      <c r="B1333" t="str">
        <f>"5811"</f>
        <v>5811</v>
      </c>
      <c r="C1333" t="str">
        <f>"Edição de livros"</f>
        <v>Edição de livros</v>
      </c>
    </row>
    <row r="1334" spans="1:3" ht="15">
      <c r="A1334">
        <v>5</v>
      </c>
      <c r="B1334" t="str">
        <f>"58110"</f>
        <v>58110</v>
      </c>
      <c r="C1334" t="str">
        <f>"Edição de livros"</f>
        <v>Edição de livros</v>
      </c>
    </row>
    <row r="1335" spans="1:3" ht="15">
      <c r="A1335">
        <v>4</v>
      </c>
      <c r="B1335" t="str">
        <f>"5812"</f>
        <v>5812</v>
      </c>
      <c r="C1335" t="str">
        <f>"Edição de listas  destinadas a consulta"</f>
        <v>Edição de listas  destinadas a consulta</v>
      </c>
    </row>
    <row r="1336" spans="1:3" ht="15">
      <c r="A1336">
        <v>5</v>
      </c>
      <c r="B1336" t="str">
        <f>"58120"</f>
        <v>58120</v>
      </c>
      <c r="C1336" t="str">
        <f>"Edição de listas  destinadas a consulta"</f>
        <v>Edição de listas  destinadas a consulta</v>
      </c>
    </row>
    <row r="1337" spans="1:3" ht="15">
      <c r="A1337">
        <v>4</v>
      </c>
      <c r="B1337" t="str">
        <f>"5813"</f>
        <v>5813</v>
      </c>
      <c r="C1337" t="str">
        <f>"Edição de jornais"</f>
        <v>Edição de jornais</v>
      </c>
    </row>
    <row r="1338" spans="1:3" ht="15">
      <c r="A1338">
        <v>5</v>
      </c>
      <c r="B1338" t="str">
        <f>"58130"</f>
        <v>58130</v>
      </c>
      <c r="C1338" t="str">
        <f>"Edição de jornais"</f>
        <v>Edição de jornais</v>
      </c>
    </row>
    <row r="1339" spans="1:3" ht="15">
      <c r="A1339">
        <v>4</v>
      </c>
      <c r="B1339" t="str">
        <f>"5814"</f>
        <v>5814</v>
      </c>
      <c r="C1339" t="str">
        <f>"Edição de revistas e de outras publicações periódicas"</f>
        <v>Edição de revistas e de outras publicações periódicas</v>
      </c>
    </row>
    <row r="1340" spans="1:3" ht="15">
      <c r="A1340">
        <v>5</v>
      </c>
      <c r="B1340" t="str">
        <f>"58140"</f>
        <v>58140</v>
      </c>
      <c r="C1340" t="str">
        <f>"Edição de revistas e de outras publicações periódicas"</f>
        <v>Edição de revistas e de outras publicações periódicas</v>
      </c>
    </row>
    <row r="1341" spans="1:3" ht="15">
      <c r="A1341">
        <v>4</v>
      </c>
      <c r="B1341" t="str">
        <f>"5819"</f>
        <v>5819</v>
      </c>
      <c r="C1341" t="str">
        <f>"Outras actividades de edição"</f>
        <v>Outras actividades de edição</v>
      </c>
    </row>
    <row r="1342" spans="1:3" ht="15">
      <c r="A1342">
        <v>5</v>
      </c>
      <c r="B1342" t="str">
        <f>"58190"</f>
        <v>58190</v>
      </c>
      <c r="C1342" t="str">
        <f>"Outras actividades de edição"</f>
        <v>Outras actividades de edição</v>
      </c>
    </row>
    <row r="1343" spans="1:3" ht="15">
      <c r="A1343">
        <v>3</v>
      </c>
      <c r="B1343" t="str">
        <f>"582"</f>
        <v>582</v>
      </c>
      <c r="C1343" t="str">
        <f>"Edição de programas informáticos"</f>
        <v>Edição de programas informáticos</v>
      </c>
    </row>
    <row r="1344" spans="1:3" ht="15">
      <c r="A1344">
        <v>4</v>
      </c>
      <c r="B1344" t="str">
        <f>"5821"</f>
        <v>5821</v>
      </c>
      <c r="C1344" t="str">
        <f>"Edição de jogos de computador"</f>
        <v>Edição de jogos de computador</v>
      </c>
    </row>
    <row r="1345" spans="1:3" ht="15">
      <c r="A1345">
        <v>5</v>
      </c>
      <c r="B1345" t="str">
        <f>"58210"</f>
        <v>58210</v>
      </c>
      <c r="C1345" t="str">
        <f>"Edição de jogos de computador"</f>
        <v>Edição de jogos de computador</v>
      </c>
    </row>
    <row r="1346" spans="1:3" ht="15">
      <c r="A1346">
        <v>4</v>
      </c>
      <c r="B1346" t="str">
        <f>"5829"</f>
        <v>5829</v>
      </c>
      <c r="C1346" t="str">
        <f>"Edição de outros programas informáticos"</f>
        <v>Edição de outros programas informáticos</v>
      </c>
    </row>
    <row r="1347" spans="1:3" ht="15">
      <c r="A1347">
        <v>5</v>
      </c>
      <c r="B1347" t="str">
        <f>"58290"</f>
        <v>58290</v>
      </c>
      <c r="C1347" t="str">
        <f>"Edição de outros programas informáticos"</f>
        <v>Edição de outros programas informáticos</v>
      </c>
    </row>
    <row r="1348" spans="1:3" ht="15">
      <c r="A1348">
        <v>2</v>
      </c>
      <c r="B1348" t="str">
        <f>"59"</f>
        <v>59</v>
      </c>
      <c r="C1348" t="str">
        <f>"Actividades cinematográficas, de vídeo, de produção de programas de televisão, de gravação de som e de edição de música"</f>
        <v>Actividades cinematográficas, de vídeo, de produção de programas de televisão, de gravação de som e de edição de música</v>
      </c>
    </row>
    <row r="1349" spans="1:3" ht="15">
      <c r="A1349">
        <v>3</v>
      </c>
      <c r="B1349" t="str">
        <f>"591"</f>
        <v>591</v>
      </c>
      <c r="C1349" t="str">
        <f>"Actividades cinematográficas, de vídeo e de produção de programas de televisão"</f>
        <v>Actividades cinematográficas, de vídeo e de produção de programas de televisão</v>
      </c>
    </row>
    <row r="1350" spans="1:3" ht="15">
      <c r="A1350">
        <v>4</v>
      </c>
      <c r="B1350" t="str">
        <f>"5911"</f>
        <v>5911</v>
      </c>
      <c r="C1350" t="str">
        <f>"Produção de filmes, de vídeos e de programas de televisão "</f>
        <v>Produção de filmes, de vídeos e de programas de televisão </v>
      </c>
    </row>
    <row r="1351" spans="1:3" ht="15">
      <c r="A1351">
        <v>5</v>
      </c>
      <c r="B1351" t="str">
        <f>"59110"</f>
        <v>59110</v>
      </c>
      <c r="C1351" t="str">
        <f>"Produção de filmes, de vídeos e de programas de televisão"</f>
        <v>Produção de filmes, de vídeos e de programas de televisão</v>
      </c>
    </row>
    <row r="1352" spans="1:3" ht="15">
      <c r="A1352">
        <v>4</v>
      </c>
      <c r="B1352" t="str">
        <f>"5912"</f>
        <v>5912</v>
      </c>
      <c r="C1352" t="str">
        <f>"Actividades técnicas de pós-produção para filmes, vídeos e programas de televisão"</f>
        <v>Actividades técnicas de pós-produção para filmes, vídeos e programas de televisão</v>
      </c>
    </row>
    <row r="1353" spans="1:3" ht="15">
      <c r="A1353">
        <v>5</v>
      </c>
      <c r="B1353" t="str">
        <f>"59120"</f>
        <v>59120</v>
      </c>
      <c r="C1353" t="str">
        <f>"Actividades técnicas de pós-produção para filmes, vídeos e programas de televisão"</f>
        <v>Actividades técnicas de pós-produção para filmes, vídeos e programas de televisão</v>
      </c>
    </row>
    <row r="1354" spans="1:3" ht="15">
      <c r="A1354">
        <v>4</v>
      </c>
      <c r="B1354" t="str">
        <f>"5913"</f>
        <v>5913</v>
      </c>
      <c r="C1354" t="str">
        <f>"Distribuição de filmes, de vídeos e de programas de televisão"</f>
        <v>Distribuição de filmes, de vídeos e de programas de televisão</v>
      </c>
    </row>
    <row r="1355" spans="1:3" ht="15">
      <c r="A1355">
        <v>5</v>
      </c>
      <c r="B1355" t="str">
        <f>"59130"</f>
        <v>59130</v>
      </c>
      <c r="C1355" t="str">
        <f>"Distribuição de filmes, de vídeos e de programas de televisão"</f>
        <v>Distribuição de filmes, de vídeos e de programas de televisão</v>
      </c>
    </row>
    <row r="1356" spans="1:3" ht="15">
      <c r="A1356">
        <v>4</v>
      </c>
      <c r="B1356" t="str">
        <f>"5914"</f>
        <v>5914</v>
      </c>
      <c r="C1356" t="str">
        <f>"Projecção de filmes e de vídeos"</f>
        <v>Projecção de filmes e de vídeos</v>
      </c>
    </row>
    <row r="1357" spans="1:3" ht="15">
      <c r="A1357">
        <v>5</v>
      </c>
      <c r="B1357" t="str">
        <f>"59140"</f>
        <v>59140</v>
      </c>
      <c r="C1357" t="str">
        <f>"Projecção de filmes e de vídeos"</f>
        <v>Projecção de filmes e de vídeos</v>
      </c>
    </row>
    <row r="1358" spans="1:3" ht="15">
      <c r="A1358">
        <v>3</v>
      </c>
      <c r="B1358" t="str">
        <f>"592"</f>
        <v>592</v>
      </c>
      <c r="C1358" t="str">
        <f>"Actividades de gravação de som e edição de música"</f>
        <v>Actividades de gravação de som e edição de música</v>
      </c>
    </row>
    <row r="1359" spans="1:3" ht="15">
      <c r="A1359">
        <v>4</v>
      </c>
      <c r="B1359" t="str">
        <f>"5920"</f>
        <v>5920</v>
      </c>
      <c r="C1359" t="str">
        <f>"Actividades de gravação de som e edição de música"</f>
        <v>Actividades de gravação de som e edição de música</v>
      </c>
    </row>
    <row r="1360" spans="1:3" ht="15">
      <c r="A1360">
        <v>5</v>
      </c>
      <c r="B1360" t="str">
        <f>"59200"</f>
        <v>59200</v>
      </c>
      <c r="C1360" t="str">
        <f>"Actividades de gravação de som e edição de música"</f>
        <v>Actividades de gravação de som e edição de música</v>
      </c>
    </row>
    <row r="1361" spans="1:3" ht="15">
      <c r="A1361">
        <v>2</v>
      </c>
      <c r="B1361" t="str">
        <f>"60"</f>
        <v>60</v>
      </c>
      <c r="C1361" t="str">
        <f>"Actividades de rádio e de  televisão"</f>
        <v>Actividades de rádio e de  televisão</v>
      </c>
    </row>
    <row r="1362" spans="1:3" ht="15">
      <c r="A1362">
        <v>3</v>
      </c>
      <c r="B1362" t="str">
        <f>"601"</f>
        <v>601</v>
      </c>
      <c r="C1362" t="str">
        <f>"Actividades de rádio"</f>
        <v>Actividades de rádio</v>
      </c>
    </row>
    <row r="1363" spans="1:3" ht="15">
      <c r="A1363">
        <v>4</v>
      </c>
      <c r="B1363" t="str">
        <f>"6010"</f>
        <v>6010</v>
      </c>
      <c r="C1363" t="str">
        <f>"Actividades de rádio"</f>
        <v>Actividades de rádio</v>
      </c>
    </row>
    <row r="1364" spans="1:3" ht="15">
      <c r="A1364">
        <v>5</v>
      </c>
      <c r="B1364" t="str">
        <f>"60100"</f>
        <v>60100</v>
      </c>
      <c r="C1364" t="str">
        <f>"Actividades de rádio"</f>
        <v>Actividades de rádio</v>
      </c>
    </row>
    <row r="1365" spans="1:3" ht="15">
      <c r="A1365">
        <v>3</v>
      </c>
      <c r="B1365" t="str">
        <f>"602"</f>
        <v>602</v>
      </c>
      <c r="C1365" t="str">
        <f>"Actividades de  televisão"</f>
        <v>Actividades de  televisão</v>
      </c>
    </row>
    <row r="1366" spans="1:3" ht="15">
      <c r="A1366">
        <v>4</v>
      </c>
      <c r="B1366" t="str">
        <f>"6020"</f>
        <v>6020</v>
      </c>
      <c r="C1366" t="str">
        <f>"Actividades de  televisão"</f>
        <v>Actividades de  televisão</v>
      </c>
    </row>
    <row r="1367" spans="1:3" ht="15">
      <c r="A1367">
        <v>5</v>
      </c>
      <c r="B1367" t="str">
        <f>"60200"</f>
        <v>60200</v>
      </c>
      <c r="C1367" t="str">
        <f>"Actividades de  televisão"</f>
        <v>Actividades de  televisão</v>
      </c>
    </row>
    <row r="1368" spans="1:3" ht="15">
      <c r="A1368">
        <v>2</v>
      </c>
      <c r="B1368" t="str">
        <f>"61"</f>
        <v>61</v>
      </c>
      <c r="C1368" t="str">
        <f>"Telecomunicações"</f>
        <v>Telecomunicações</v>
      </c>
    </row>
    <row r="1369" spans="1:3" ht="15">
      <c r="A1369">
        <v>3</v>
      </c>
      <c r="B1369" t="str">
        <f>"611"</f>
        <v>611</v>
      </c>
      <c r="C1369" t="str">
        <f>"Actividades de telecomunicações por fio"</f>
        <v>Actividades de telecomunicações por fio</v>
      </c>
    </row>
    <row r="1370" spans="1:3" ht="15">
      <c r="A1370">
        <v>4</v>
      </c>
      <c r="B1370" t="str">
        <f>"6110"</f>
        <v>6110</v>
      </c>
      <c r="C1370" t="str">
        <f>"Actividades de telecomunicações por fio"</f>
        <v>Actividades de telecomunicações por fio</v>
      </c>
    </row>
    <row r="1371" spans="1:3" ht="15">
      <c r="A1371">
        <v>5</v>
      </c>
      <c r="B1371" t="str">
        <f>"61100"</f>
        <v>61100</v>
      </c>
      <c r="C1371" t="str">
        <f>"Actividades de telecomunicações por fio"</f>
        <v>Actividades de telecomunicações por fio</v>
      </c>
    </row>
    <row r="1372" spans="1:3" ht="15">
      <c r="A1372">
        <v>3</v>
      </c>
      <c r="B1372" t="str">
        <f>"612"</f>
        <v>612</v>
      </c>
      <c r="C1372" t="str">
        <f>"Actividades de telecomunicações sem fio"</f>
        <v>Actividades de telecomunicações sem fio</v>
      </c>
    </row>
    <row r="1373" spans="1:3" ht="15">
      <c r="A1373">
        <v>4</v>
      </c>
      <c r="B1373" t="str">
        <f>"6120"</f>
        <v>6120</v>
      </c>
      <c r="C1373" t="str">
        <f>"Actividades de telecomunicações sem fio"</f>
        <v>Actividades de telecomunicações sem fio</v>
      </c>
    </row>
    <row r="1374" spans="1:3" ht="15">
      <c r="A1374">
        <v>5</v>
      </c>
      <c r="B1374" t="str">
        <f>"61200"</f>
        <v>61200</v>
      </c>
      <c r="C1374" t="str">
        <f>"Actividades de telecomunicações sem fio"</f>
        <v>Actividades de telecomunicações sem fio</v>
      </c>
    </row>
    <row r="1375" spans="1:3" ht="15">
      <c r="A1375">
        <v>3</v>
      </c>
      <c r="B1375" t="str">
        <f>"613"</f>
        <v>613</v>
      </c>
      <c r="C1375" t="str">
        <f>"Actividades de telecomunicações por satélite"</f>
        <v>Actividades de telecomunicações por satélite</v>
      </c>
    </row>
    <row r="1376" spans="1:3" ht="15">
      <c r="A1376">
        <v>4</v>
      </c>
      <c r="B1376" t="str">
        <f>"6130"</f>
        <v>6130</v>
      </c>
      <c r="C1376" t="str">
        <f>"Actividades de telecomunicações por satélite"</f>
        <v>Actividades de telecomunicações por satélite</v>
      </c>
    </row>
    <row r="1377" spans="1:3" ht="15">
      <c r="A1377">
        <v>5</v>
      </c>
      <c r="B1377" t="str">
        <f>"61300"</f>
        <v>61300</v>
      </c>
      <c r="C1377" t="str">
        <f>"Actividades de telecomunicações por satélite"</f>
        <v>Actividades de telecomunicações por satélite</v>
      </c>
    </row>
    <row r="1378" spans="1:3" ht="15">
      <c r="A1378">
        <v>3</v>
      </c>
      <c r="B1378" t="str">
        <f>"619"</f>
        <v>619</v>
      </c>
      <c r="C1378" t="str">
        <f>"Outras actividades de telecomunicações"</f>
        <v>Outras actividades de telecomunicações</v>
      </c>
    </row>
    <row r="1379" spans="1:3" ht="15">
      <c r="A1379">
        <v>4</v>
      </c>
      <c r="B1379" t="str">
        <f>"6190"</f>
        <v>6190</v>
      </c>
      <c r="C1379" t="str">
        <f>"Outras actividades de telecomunicações"</f>
        <v>Outras actividades de telecomunicações</v>
      </c>
    </row>
    <row r="1380" spans="1:3" ht="15">
      <c r="A1380">
        <v>5</v>
      </c>
      <c r="B1380" t="str">
        <f>"61900"</f>
        <v>61900</v>
      </c>
      <c r="C1380" t="str">
        <f>"Outras actividades de telecomunicações"</f>
        <v>Outras actividades de telecomunicações</v>
      </c>
    </row>
    <row r="1381" spans="1:3" ht="15">
      <c r="A1381">
        <v>2</v>
      </c>
      <c r="B1381" t="str">
        <f>"62"</f>
        <v>62</v>
      </c>
      <c r="C1381" t="str">
        <f>"Consultoria e programação informática e actividades relacionadas"</f>
        <v>Consultoria e programação informática e actividades relacionadas</v>
      </c>
    </row>
    <row r="1382" spans="1:3" ht="15">
      <c r="A1382">
        <v>3</v>
      </c>
      <c r="B1382" t="str">
        <f>"620"</f>
        <v>620</v>
      </c>
      <c r="C1382" t="str">
        <f>"Consultoria e programação informática e actividades relacionadas"</f>
        <v>Consultoria e programação informática e actividades relacionadas</v>
      </c>
    </row>
    <row r="1383" spans="1:3" ht="15">
      <c r="A1383">
        <v>4</v>
      </c>
      <c r="B1383" t="str">
        <f>"6201"</f>
        <v>6201</v>
      </c>
      <c r="C1383" t="str">
        <f>"Actividades de programação informática"</f>
        <v>Actividades de programação informática</v>
      </c>
    </row>
    <row r="1384" spans="1:3" ht="15">
      <c r="A1384">
        <v>5</v>
      </c>
      <c r="B1384" t="str">
        <f>"62010"</f>
        <v>62010</v>
      </c>
      <c r="C1384" t="str">
        <f>"Actividades de programação informática"</f>
        <v>Actividades de programação informática</v>
      </c>
    </row>
    <row r="1385" spans="1:3" ht="15">
      <c r="A1385">
        <v>4</v>
      </c>
      <c r="B1385" t="str">
        <f>"6202"</f>
        <v>6202</v>
      </c>
      <c r="C1385" t="str">
        <f>"Actividades de consultoria em informática"</f>
        <v>Actividades de consultoria em informática</v>
      </c>
    </row>
    <row r="1386" spans="1:3" ht="15">
      <c r="A1386">
        <v>5</v>
      </c>
      <c r="B1386" t="str">
        <f>"62020"</f>
        <v>62020</v>
      </c>
      <c r="C1386" t="str">
        <f>"Actividades de consultoria em informática"</f>
        <v>Actividades de consultoria em informática</v>
      </c>
    </row>
    <row r="1387" spans="1:3" ht="15">
      <c r="A1387">
        <v>4</v>
      </c>
      <c r="B1387" t="str">
        <f>"6203"</f>
        <v>6203</v>
      </c>
      <c r="C1387" t="str">
        <f>"Gestão e exploração de equipamento informático"</f>
        <v>Gestão e exploração de equipamento informático</v>
      </c>
    </row>
    <row r="1388" spans="1:3" ht="15">
      <c r="A1388">
        <v>5</v>
      </c>
      <c r="B1388" t="str">
        <f>"62030"</f>
        <v>62030</v>
      </c>
      <c r="C1388" t="str">
        <f>"Gestão e exploração de equipamento informático"</f>
        <v>Gestão e exploração de equipamento informático</v>
      </c>
    </row>
    <row r="1389" spans="1:3" ht="15">
      <c r="A1389">
        <v>4</v>
      </c>
      <c r="B1389" t="str">
        <f>"6209"</f>
        <v>6209</v>
      </c>
      <c r="C1389" t="str">
        <f>"Outras actividades  relacionadas com as tecnologias da informação e informática"</f>
        <v>Outras actividades  relacionadas com as tecnologias da informação e informática</v>
      </c>
    </row>
    <row r="1390" spans="1:3" ht="15">
      <c r="A1390">
        <v>5</v>
      </c>
      <c r="B1390" t="str">
        <f>"62090"</f>
        <v>62090</v>
      </c>
      <c r="C1390" t="str">
        <f>"Outras actividades  relacionadas com as tecnologias da informação e informática"</f>
        <v>Outras actividades  relacionadas com as tecnologias da informação e informática</v>
      </c>
    </row>
    <row r="1391" spans="1:3" ht="15">
      <c r="A1391">
        <v>2</v>
      </c>
      <c r="B1391" t="str">
        <f>"63"</f>
        <v>63</v>
      </c>
      <c r="C1391" t="str">
        <f>"Actividades dos serviços de informação"</f>
        <v>Actividades dos serviços de informação</v>
      </c>
    </row>
    <row r="1392" spans="1:3" ht="15">
      <c r="A1392">
        <v>3</v>
      </c>
      <c r="B1392" t="str">
        <f>"631"</f>
        <v>631</v>
      </c>
      <c r="C1392" t="str">
        <f>"Actividades de processamento de dados, domiciliação de informação  e actividades relacionadas; portais Web"</f>
        <v>Actividades de processamento de dados, domiciliação de informação  e actividades relacionadas; portais Web</v>
      </c>
    </row>
    <row r="1393" spans="1:3" ht="15">
      <c r="A1393">
        <v>4</v>
      </c>
      <c r="B1393" t="str">
        <f>"6311"</f>
        <v>6311</v>
      </c>
      <c r="C1393" t="str">
        <f>"Actividades de processamento de dados, domiciliação de informação e actividades relacionadas"</f>
        <v>Actividades de processamento de dados, domiciliação de informação e actividades relacionadas</v>
      </c>
    </row>
    <row r="1394" spans="1:3" ht="15">
      <c r="A1394">
        <v>5</v>
      </c>
      <c r="B1394" t="str">
        <f>"63110"</f>
        <v>63110</v>
      </c>
      <c r="C1394" t="str">
        <f>"Actividades de processamento de dados, domiciliação de informação e actividades relacionadas"</f>
        <v>Actividades de processamento de dados, domiciliação de informação e actividades relacionadas</v>
      </c>
    </row>
    <row r="1395" spans="1:3" ht="15">
      <c r="A1395">
        <v>4</v>
      </c>
      <c r="B1395" t="str">
        <f>"6312"</f>
        <v>6312</v>
      </c>
      <c r="C1395" t="str">
        <f>"Portais Web"</f>
        <v>Portais Web</v>
      </c>
    </row>
    <row r="1396" spans="1:3" ht="15">
      <c r="A1396">
        <v>5</v>
      </c>
      <c r="B1396" t="str">
        <f>"63120"</f>
        <v>63120</v>
      </c>
      <c r="C1396" t="str">
        <f>"Portais Web"</f>
        <v>Portais Web</v>
      </c>
    </row>
    <row r="1397" spans="1:3" ht="15">
      <c r="A1397">
        <v>3</v>
      </c>
      <c r="B1397" t="str">
        <f>"639"</f>
        <v>639</v>
      </c>
      <c r="C1397" t="str">
        <f>"Outras actividades dos serviços de informação"</f>
        <v>Outras actividades dos serviços de informação</v>
      </c>
    </row>
    <row r="1398" spans="1:3" ht="15">
      <c r="A1398">
        <v>4</v>
      </c>
      <c r="B1398" t="str">
        <f>"6391"</f>
        <v>6391</v>
      </c>
      <c r="C1398" t="str">
        <f>"Actividades de agências de notícias"</f>
        <v>Actividades de agências de notícias</v>
      </c>
    </row>
    <row r="1399" spans="1:3" ht="15">
      <c r="A1399">
        <v>5</v>
      </c>
      <c r="B1399" t="str">
        <f>"63910"</f>
        <v>63910</v>
      </c>
      <c r="C1399" t="str">
        <f>"Actividades de agências de notícias"</f>
        <v>Actividades de agências de notícias</v>
      </c>
    </row>
    <row r="1400" spans="1:3" ht="15">
      <c r="A1400">
        <v>4</v>
      </c>
      <c r="B1400" t="str">
        <f>"6399"</f>
        <v>6399</v>
      </c>
      <c r="C1400" t="str">
        <f>"Outras actividades dos serviços de informação, n.e."</f>
        <v>Outras actividades dos serviços de informação, n.e.</v>
      </c>
    </row>
    <row r="1401" spans="1:3" ht="15">
      <c r="A1401">
        <v>5</v>
      </c>
      <c r="B1401" t="str">
        <f>"63990"</f>
        <v>63990</v>
      </c>
      <c r="C1401" t="str">
        <f>"Outras actividades dos serviços de informação, n.e."</f>
        <v>Outras actividades dos serviços de informação, n.e.</v>
      </c>
    </row>
    <row r="1402" spans="1:3" ht="15">
      <c r="A1402">
        <v>1</v>
      </c>
      <c r="B1402" t="str">
        <f>"K"</f>
        <v>K</v>
      </c>
      <c r="C1402" t="str">
        <f>"Actividades financeiras e de seguros"</f>
        <v>Actividades financeiras e de seguros</v>
      </c>
    </row>
    <row r="1403" spans="1:3" ht="15">
      <c r="A1403">
        <v>2</v>
      </c>
      <c r="B1403" t="str">
        <f>"64"</f>
        <v>64</v>
      </c>
      <c r="C1403" t="str">
        <f>"Actividades de serviços financeiros, excepto seguros e fundos de pensões"</f>
        <v>Actividades de serviços financeiros, excepto seguros e fundos de pensões</v>
      </c>
    </row>
    <row r="1404" spans="1:3" ht="15">
      <c r="A1404">
        <v>3</v>
      </c>
      <c r="B1404" t="str">
        <f>"641"</f>
        <v>641</v>
      </c>
      <c r="C1404" t="str">
        <f>"Intermediação monetária"</f>
        <v>Intermediação monetária</v>
      </c>
    </row>
    <row r="1405" spans="1:3" ht="15">
      <c r="A1405">
        <v>4</v>
      </c>
      <c r="B1405" t="str">
        <f>"6411"</f>
        <v>6411</v>
      </c>
      <c r="C1405" t="str">
        <f>"Banco central"</f>
        <v>Banco central</v>
      </c>
    </row>
    <row r="1406" spans="1:3" ht="15">
      <c r="A1406">
        <v>5</v>
      </c>
      <c r="B1406" t="str">
        <f>"64110"</f>
        <v>64110</v>
      </c>
      <c r="C1406" t="str">
        <f>"Banco central"</f>
        <v>Banco central</v>
      </c>
    </row>
    <row r="1407" spans="1:3" ht="15">
      <c r="A1407">
        <v>4</v>
      </c>
      <c r="B1407" t="str">
        <f>"6419"</f>
        <v>6419</v>
      </c>
      <c r="C1407" t="str">
        <f>"Outra intermediação monetária"</f>
        <v>Outra intermediação monetária</v>
      </c>
    </row>
    <row r="1408" spans="1:3" ht="15">
      <c r="A1408">
        <v>5</v>
      </c>
      <c r="B1408" t="str">
        <f>"64190"</f>
        <v>64190</v>
      </c>
      <c r="C1408" t="str">
        <f>"Outra intermediação monetária"</f>
        <v>Outra intermediação monetária</v>
      </c>
    </row>
    <row r="1409" spans="1:3" ht="15">
      <c r="A1409">
        <v>3</v>
      </c>
      <c r="B1409" t="str">
        <f>"642"</f>
        <v>642</v>
      </c>
      <c r="C1409" t="str">
        <f>"Actividades das sociedades gestoras de participações sociais"</f>
        <v>Actividades das sociedades gestoras de participações sociais</v>
      </c>
    </row>
    <row r="1410" spans="1:3" ht="15">
      <c r="A1410">
        <v>4</v>
      </c>
      <c r="B1410" t="str">
        <f>"6420"</f>
        <v>6420</v>
      </c>
      <c r="C1410" t="str">
        <f>"Actividades das sociedades gestoras de participações sociais"</f>
        <v>Actividades das sociedades gestoras de participações sociais</v>
      </c>
    </row>
    <row r="1411" spans="1:3" ht="15">
      <c r="A1411">
        <v>5</v>
      </c>
      <c r="B1411" t="str">
        <f>"64201"</f>
        <v>64201</v>
      </c>
      <c r="C1411" t="str">
        <f>"Actividades das sociedades gestoras de participações sociais financeiras"</f>
        <v>Actividades das sociedades gestoras de participações sociais financeiras</v>
      </c>
    </row>
    <row r="1412" spans="1:3" ht="15">
      <c r="A1412">
        <v>5</v>
      </c>
      <c r="B1412" t="str">
        <f>"64202"</f>
        <v>64202</v>
      </c>
      <c r="C1412" t="str">
        <f>"Actividades das sociedades gestoras de participações sociais não financeiras"</f>
        <v>Actividades das sociedades gestoras de participações sociais não financeiras</v>
      </c>
    </row>
    <row r="1413" spans="1:3" ht="15">
      <c r="A1413">
        <v>3</v>
      </c>
      <c r="B1413" t="str">
        <f>"643"</f>
        <v>643</v>
      </c>
      <c r="C1413" t="str">
        <f>"Trusts, fundos e  entidades financeiras similares"</f>
        <v>Trusts, fundos e  entidades financeiras similares</v>
      </c>
    </row>
    <row r="1414" spans="1:3" ht="15">
      <c r="A1414">
        <v>4</v>
      </c>
      <c r="B1414" t="str">
        <f>"6430"</f>
        <v>6430</v>
      </c>
      <c r="C1414" t="str">
        <f>"Trusts, fundos e  entidades financeiras similares"</f>
        <v>Trusts, fundos e  entidades financeiras similares</v>
      </c>
    </row>
    <row r="1415" spans="1:3" ht="15">
      <c r="A1415">
        <v>5</v>
      </c>
      <c r="B1415" t="str">
        <f>"64300"</f>
        <v>64300</v>
      </c>
      <c r="C1415" t="str">
        <f>"Trusts, fundos e  entidades financeiras similares"</f>
        <v>Trusts, fundos e  entidades financeiras similares</v>
      </c>
    </row>
    <row r="1416" spans="1:3" ht="15">
      <c r="A1416">
        <v>3</v>
      </c>
      <c r="B1416" t="str">
        <f>"649"</f>
        <v>649</v>
      </c>
      <c r="C1416" t="str">
        <f>"Outras actividades de serviços financeiros, excepto seguros e fundos de pensões"</f>
        <v>Outras actividades de serviços financeiros, excepto seguros e fundos de pensões</v>
      </c>
    </row>
    <row r="1417" spans="1:3" ht="15">
      <c r="A1417">
        <v>4</v>
      </c>
      <c r="B1417" t="str">
        <f>"6491"</f>
        <v>6491</v>
      </c>
      <c r="C1417" t="str">
        <f>"Actividades de locação financeira"</f>
        <v>Actividades de locação financeira</v>
      </c>
    </row>
    <row r="1418" spans="1:3" ht="15">
      <c r="A1418">
        <v>5</v>
      </c>
      <c r="B1418" t="str">
        <f>"64910"</f>
        <v>64910</v>
      </c>
      <c r="C1418" t="str">
        <f>"Actividades de locação financeira"</f>
        <v>Actividades de locação financeira</v>
      </c>
    </row>
    <row r="1419" spans="1:3" ht="15">
      <c r="A1419">
        <v>4</v>
      </c>
      <c r="B1419" t="str">
        <f>"6492"</f>
        <v>6492</v>
      </c>
      <c r="C1419" t="str">
        <f>"Outras actividades de crédito"</f>
        <v>Outras actividades de crédito</v>
      </c>
    </row>
    <row r="1420" spans="1:3" ht="15">
      <c r="A1420">
        <v>5</v>
      </c>
      <c r="B1420" t="str">
        <f>"64921"</f>
        <v>64921</v>
      </c>
      <c r="C1420" t="str">
        <f>"Actividades das instituições financeiras de crédito"</f>
        <v>Actividades das instituições financeiras de crédito</v>
      </c>
    </row>
    <row r="1421" spans="1:3" ht="15">
      <c r="A1421">
        <v>5</v>
      </c>
      <c r="B1421" t="str">
        <f>"64922"</f>
        <v>64922</v>
      </c>
      <c r="C1421" t="str">
        <f>"Actividades das sociedades financeiras para aquisições a crédito"</f>
        <v>Actividades das sociedades financeiras para aquisições a crédito</v>
      </c>
    </row>
    <row r="1422" spans="1:3" ht="15">
      <c r="A1422">
        <v>5</v>
      </c>
      <c r="B1422" t="str">
        <f>"64923"</f>
        <v>64923</v>
      </c>
      <c r="C1422" t="str">
        <f>"Outras actividades de crédito, n.e."</f>
        <v>Outras actividades de crédito, n.e.</v>
      </c>
    </row>
    <row r="1423" spans="1:3" ht="15">
      <c r="A1423">
        <v>4</v>
      </c>
      <c r="B1423" t="str">
        <f>"6499"</f>
        <v>6499</v>
      </c>
      <c r="C1423" t="str">
        <f>"Outras actividades de serviços financeiros n.e., excepto seguros e fundos de pensões"</f>
        <v>Outras actividades de serviços financeiros n.e., excepto seguros e fundos de pensões</v>
      </c>
    </row>
    <row r="1424" spans="1:3" ht="15">
      <c r="A1424">
        <v>5</v>
      </c>
      <c r="B1424" t="str">
        <f>"64991"</f>
        <v>64991</v>
      </c>
      <c r="C1424" t="str">
        <f>"Actividades de factoring"</f>
        <v>Actividades de factoring</v>
      </c>
    </row>
    <row r="1425" spans="1:3" ht="15">
      <c r="A1425">
        <v>5</v>
      </c>
      <c r="B1425" t="str">
        <f>"64992"</f>
        <v>64992</v>
      </c>
      <c r="C1425" t="str">
        <f>"Outras actividades de serviços financeiros diversos , n.e.,excepto seguros e fundos de pensões"</f>
        <v>Outras actividades de serviços financeiros diversos , n.e.,excepto seguros e fundos de pensões</v>
      </c>
    </row>
    <row r="1426" spans="1:3" ht="15">
      <c r="A1426">
        <v>2</v>
      </c>
      <c r="B1426" t="str">
        <f>"65"</f>
        <v>65</v>
      </c>
      <c r="C1426" t="str">
        <f>"Seguros, resseguros e fundos de pensões, excepto segurança social obrigatória"</f>
        <v>Seguros, resseguros e fundos de pensões, excepto segurança social obrigatória</v>
      </c>
    </row>
    <row r="1427" spans="1:3" ht="15">
      <c r="A1427">
        <v>3</v>
      </c>
      <c r="B1427" t="str">
        <f>"651"</f>
        <v>651</v>
      </c>
      <c r="C1427" t="str">
        <f>"Seguros"</f>
        <v>Seguros</v>
      </c>
    </row>
    <row r="1428" spans="1:3" ht="15">
      <c r="A1428">
        <v>4</v>
      </c>
      <c r="B1428" t="str">
        <f>"6511"</f>
        <v>6511</v>
      </c>
      <c r="C1428" t="str">
        <f>"Seguros de vida  e outras actividades complementares de segurança social"</f>
        <v>Seguros de vida  e outras actividades complementares de segurança social</v>
      </c>
    </row>
    <row r="1429" spans="1:3" ht="15">
      <c r="A1429">
        <v>5</v>
      </c>
      <c r="B1429" t="str">
        <f>"65111"</f>
        <v>65111</v>
      </c>
      <c r="C1429" t="str">
        <f>"Seguros de vida"</f>
        <v>Seguros de vida</v>
      </c>
    </row>
    <row r="1430" spans="1:3" ht="15">
      <c r="A1430">
        <v>5</v>
      </c>
      <c r="B1430" t="str">
        <f>"65112"</f>
        <v>65112</v>
      </c>
      <c r="C1430" t="str">
        <f>"Outras actividades complementares de segurança social"</f>
        <v>Outras actividades complementares de segurança social</v>
      </c>
    </row>
    <row r="1431" spans="1:3" ht="15">
      <c r="A1431">
        <v>4</v>
      </c>
      <c r="B1431" t="str">
        <f>"6512"</f>
        <v>6512</v>
      </c>
      <c r="C1431" t="str">
        <f>"Seguros não vida"</f>
        <v>Seguros não vida</v>
      </c>
    </row>
    <row r="1432" spans="1:3" ht="15">
      <c r="A1432">
        <v>5</v>
      </c>
      <c r="B1432" t="str">
        <f>"65120"</f>
        <v>65120</v>
      </c>
      <c r="C1432" t="str">
        <f>"Seguros não vida"</f>
        <v>Seguros não vida</v>
      </c>
    </row>
    <row r="1433" spans="1:3" ht="15">
      <c r="A1433">
        <v>3</v>
      </c>
      <c r="B1433" t="str">
        <f>"652"</f>
        <v>652</v>
      </c>
      <c r="C1433" t="str">
        <f>"Resseguros"</f>
        <v>Resseguros</v>
      </c>
    </row>
    <row r="1434" spans="1:3" ht="15">
      <c r="A1434">
        <v>4</v>
      </c>
      <c r="B1434" t="str">
        <f>"6520"</f>
        <v>6520</v>
      </c>
      <c r="C1434" t="str">
        <f>"Resseguros"</f>
        <v>Resseguros</v>
      </c>
    </row>
    <row r="1435" spans="1:3" ht="15">
      <c r="A1435">
        <v>5</v>
      </c>
      <c r="B1435" t="str">
        <f>"65200"</f>
        <v>65200</v>
      </c>
      <c r="C1435" t="str">
        <f>"Resseguros"</f>
        <v>Resseguros</v>
      </c>
    </row>
    <row r="1436" spans="1:3" ht="15">
      <c r="A1436">
        <v>3</v>
      </c>
      <c r="B1436" t="str">
        <f>"653"</f>
        <v>653</v>
      </c>
      <c r="C1436" t="str">
        <f>"Fundos de pensões e regimes profissionais complementares"</f>
        <v>Fundos de pensões e regimes profissionais complementares</v>
      </c>
    </row>
    <row r="1437" spans="1:3" ht="15">
      <c r="A1437">
        <v>4</v>
      </c>
      <c r="B1437" t="str">
        <f>"6530"</f>
        <v>6530</v>
      </c>
      <c r="C1437" t="str">
        <f>"Fundos de pensões e regimes profissionais complementares"</f>
        <v>Fundos de pensões e regimes profissionais complementares</v>
      </c>
    </row>
    <row r="1438" spans="1:3" ht="15">
      <c r="A1438">
        <v>5</v>
      </c>
      <c r="B1438" t="str">
        <f>"65300"</f>
        <v>65300</v>
      </c>
      <c r="C1438" t="str">
        <f>"Fundos de pensões e regimes profissionais complementares"</f>
        <v>Fundos de pensões e regimes profissionais complementares</v>
      </c>
    </row>
    <row r="1439" spans="1:3" ht="15">
      <c r="A1439">
        <v>2</v>
      </c>
      <c r="B1439" t="str">
        <f>"66"</f>
        <v>66</v>
      </c>
      <c r="C1439" t="str">
        <f>"Actividades auxiliares de serviços financeiros e dos seguros"</f>
        <v>Actividades auxiliares de serviços financeiros e dos seguros</v>
      </c>
    </row>
    <row r="1440" spans="1:3" ht="15">
      <c r="A1440">
        <v>3</v>
      </c>
      <c r="B1440" t="str">
        <f>"661"</f>
        <v>661</v>
      </c>
      <c r="C1440" t="str">
        <f>"Actividades auxiliares de serviços financeiros, excepto seguros e fundos de pensões"</f>
        <v>Actividades auxiliares de serviços financeiros, excepto seguros e fundos de pensões</v>
      </c>
    </row>
    <row r="1441" spans="1:3" ht="15">
      <c r="A1441">
        <v>4</v>
      </c>
      <c r="B1441" t="str">
        <f>"6611"</f>
        <v>6611</v>
      </c>
      <c r="C1441" t="str">
        <f>"Administração de mercados financeiros"</f>
        <v>Administração de mercados financeiros</v>
      </c>
    </row>
    <row r="1442" spans="1:3" ht="15">
      <c r="A1442">
        <v>5</v>
      </c>
      <c r="B1442" t="str">
        <f>"66110"</f>
        <v>66110</v>
      </c>
      <c r="C1442" t="str">
        <f>"Administração de mercados financeiros"</f>
        <v>Administração de mercados financeiros</v>
      </c>
    </row>
    <row r="1443" spans="1:3" ht="15">
      <c r="A1443">
        <v>4</v>
      </c>
      <c r="B1443" t="str">
        <f>"6612"</f>
        <v>6612</v>
      </c>
      <c r="C1443" t="str">
        <f>"Actividades de negociação por conta de terceiros em valores mobiliários e outros instrumentos financeiros"</f>
        <v>Actividades de negociação por conta de terceiros em valores mobiliários e outros instrumentos financeiros</v>
      </c>
    </row>
    <row r="1444" spans="1:3" ht="15">
      <c r="A1444">
        <v>5</v>
      </c>
      <c r="B1444" t="str">
        <f>"66120"</f>
        <v>66120</v>
      </c>
      <c r="C1444" t="str">
        <f>"Actividades de negociação por conta de terceiros em valores mobiliários e outros instrumentos financeiros"</f>
        <v>Actividades de negociação por conta de terceiros em valores mobiliários e outros instrumentos financeiros</v>
      </c>
    </row>
    <row r="1445" spans="1:3" ht="15">
      <c r="A1445">
        <v>4</v>
      </c>
      <c r="B1445" t="str">
        <f>"6619"</f>
        <v>6619</v>
      </c>
      <c r="C1445" t="str">
        <f>"Outras actividades auxiliares de serviços financeiros, excepto seguros e fundos de pensões"</f>
        <v>Outras actividades auxiliares de serviços financeiros, excepto seguros e fundos de pensões</v>
      </c>
    </row>
    <row r="1446" spans="1:3" ht="15">
      <c r="A1446">
        <v>5</v>
      </c>
      <c r="B1446" t="str">
        <f>"66190"</f>
        <v>66190</v>
      </c>
      <c r="C1446" t="str">
        <f>"Outras actividades auxiliares de serviços financeiros, excepto seguros e fundos de pensões"</f>
        <v>Outras actividades auxiliares de serviços financeiros, excepto seguros e fundos de pensões</v>
      </c>
    </row>
    <row r="1447" spans="1:3" ht="15">
      <c r="A1447">
        <v>3</v>
      </c>
      <c r="B1447" t="str">
        <f>"662"</f>
        <v>662</v>
      </c>
      <c r="C1447" t="str">
        <f>"Actividades auxiliares de seguros e de fundos de pensões"</f>
        <v>Actividades auxiliares de seguros e de fundos de pensões</v>
      </c>
    </row>
    <row r="1448" spans="1:3" ht="15">
      <c r="A1448">
        <v>4</v>
      </c>
      <c r="B1448" t="str">
        <f>"6621"</f>
        <v>6621</v>
      </c>
      <c r="C1448" t="str">
        <f>"Actividades de avaliação de riscos e danos"</f>
        <v>Actividades de avaliação de riscos e danos</v>
      </c>
    </row>
    <row r="1449" spans="1:3" ht="15">
      <c r="A1449">
        <v>5</v>
      </c>
      <c r="B1449" t="str">
        <f>"66210"</f>
        <v>66210</v>
      </c>
      <c r="C1449" t="str">
        <f>"Actividades de avaliação de riscos e danos"</f>
        <v>Actividades de avaliação de riscos e danos</v>
      </c>
    </row>
    <row r="1450" spans="1:3" ht="15">
      <c r="A1450">
        <v>4</v>
      </c>
      <c r="B1450" t="str">
        <f>"6622"</f>
        <v>6622</v>
      </c>
      <c r="C1450" t="str">
        <f>"Actividades de mediadores de seguros"</f>
        <v>Actividades de mediadores de seguros</v>
      </c>
    </row>
    <row r="1451" spans="1:3" ht="15">
      <c r="A1451">
        <v>5</v>
      </c>
      <c r="B1451" t="str">
        <f>"66220"</f>
        <v>66220</v>
      </c>
      <c r="C1451" t="str">
        <f>"Actividades de mediadores de seguros"</f>
        <v>Actividades de mediadores de seguros</v>
      </c>
    </row>
    <row r="1452" spans="1:3" ht="15">
      <c r="A1452">
        <v>4</v>
      </c>
      <c r="B1452" t="str">
        <f>"6629"</f>
        <v>6629</v>
      </c>
      <c r="C1452" t="str">
        <f>"Outras actividades auxiliares de seguros e fundos de pensões"</f>
        <v>Outras actividades auxiliares de seguros e fundos de pensões</v>
      </c>
    </row>
    <row r="1453" spans="1:3" ht="15">
      <c r="A1453">
        <v>5</v>
      </c>
      <c r="B1453" t="str">
        <f>"66290"</f>
        <v>66290</v>
      </c>
      <c r="C1453" t="str">
        <f>"Outras actividades auxiliares de seguros e fundos de pensões"</f>
        <v>Outras actividades auxiliares de seguros e fundos de pensões</v>
      </c>
    </row>
    <row r="1454" spans="1:3" ht="15">
      <c r="A1454">
        <v>3</v>
      </c>
      <c r="B1454" t="str">
        <f>"663"</f>
        <v>663</v>
      </c>
      <c r="C1454" t="str">
        <f>"Actividades de gestão de fundos"</f>
        <v>Actividades de gestão de fundos</v>
      </c>
    </row>
    <row r="1455" spans="1:3" ht="15">
      <c r="A1455">
        <v>4</v>
      </c>
      <c r="B1455" t="str">
        <f>"6630"</f>
        <v>6630</v>
      </c>
      <c r="C1455" t="str">
        <f>"Actividades de gestão de fundos"</f>
        <v>Actividades de gestão de fundos</v>
      </c>
    </row>
    <row r="1456" spans="1:3" ht="15">
      <c r="A1456">
        <v>5</v>
      </c>
      <c r="B1456" t="str">
        <f>"66300"</f>
        <v>66300</v>
      </c>
      <c r="C1456" t="str">
        <f>"Actividades de gestão de fundos"</f>
        <v>Actividades de gestão de fundos</v>
      </c>
    </row>
    <row r="1457" spans="1:3" ht="15">
      <c r="A1457">
        <v>1</v>
      </c>
      <c r="B1457" t="str">
        <f>"L"</f>
        <v>L</v>
      </c>
      <c r="C1457" t="str">
        <f>"Actividades imobiliárias"</f>
        <v>Actividades imobiliárias</v>
      </c>
    </row>
    <row r="1458" spans="1:3" ht="15">
      <c r="A1458">
        <v>2</v>
      </c>
      <c r="B1458" t="str">
        <f>"68"</f>
        <v>68</v>
      </c>
      <c r="C1458" t="str">
        <f>"Actividades imobiliárias"</f>
        <v>Actividades imobiliárias</v>
      </c>
    </row>
    <row r="1459" spans="1:3" ht="15">
      <c r="A1459">
        <v>3</v>
      </c>
      <c r="B1459" t="str">
        <f>"681"</f>
        <v>681</v>
      </c>
      <c r="C1459" t="str">
        <f>"Compra e venda de bens imobiliários"</f>
        <v>Compra e venda de bens imobiliários</v>
      </c>
    </row>
    <row r="1460" spans="1:3" ht="15">
      <c r="A1460">
        <v>4</v>
      </c>
      <c r="B1460" t="str">
        <f>"6810"</f>
        <v>6810</v>
      </c>
      <c r="C1460" t="str">
        <f>"Compra e venda de bens imobiliários"</f>
        <v>Compra e venda de bens imobiliários</v>
      </c>
    </row>
    <row r="1461" spans="1:3" ht="15">
      <c r="A1461">
        <v>5</v>
      </c>
      <c r="B1461" t="str">
        <f>"68100"</f>
        <v>68100</v>
      </c>
      <c r="C1461" t="str">
        <f>"Compra e venda de bens imobiliários"</f>
        <v>Compra e venda de bens imobiliários</v>
      </c>
    </row>
    <row r="1462" spans="1:3" ht="15">
      <c r="A1462">
        <v>3</v>
      </c>
      <c r="B1462" t="str">
        <f>"682"</f>
        <v>682</v>
      </c>
      <c r="C1462" t="str">
        <f>"Arrendamento de bens imobiliários"</f>
        <v>Arrendamento de bens imobiliários</v>
      </c>
    </row>
    <row r="1463" spans="1:3" ht="15">
      <c r="A1463">
        <v>4</v>
      </c>
      <c r="B1463" t="str">
        <f>"6820"</f>
        <v>6820</v>
      </c>
      <c r="C1463" t="str">
        <f>"Arrendamento de bens imobiliários"</f>
        <v>Arrendamento de bens imobiliários</v>
      </c>
    </row>
    <row r="1464" spans="1:3" ht="15">
      <c r="A1464">
        <v>5</v>
      </c>
      <c r="B1464" t="str">
        <f>"68200"</f>
        <v>68200</v>
      </c>
      <c r="C1464" t="str">
        <f>"Arrendamento de bens imobiliários"</f>
        <v>Arrendamento de bens imobiliários</v>
      </c>
    </row>
    <row r="1465" spans="1:3" ht="15">
      <c r="A1465">
        <v>3</v>
      </c>
      <c r="B1465" t="str">
        <f>"683"</f>
        <v>683</v>
      </c>
      <c r="C1465" t="str">
        <f>"Actividades imobiliárias por conta de outrem"</f>
        <v>Actividades imobiliárias por conta de outrem</v>
      </c>
    </row>
    <row r="1466" spans="1:3" ht="15">
      <c r="A1466">
        <v>4</v>
      </c>
      <c r="B1466" t="str">
        <f>"6831"</f>
        <v>6831</v>
      </c>
      <c r="C1466" t="str">
        <f>"Mediação e avaliação imobiliária"</f>
        <v>Mediação e avaliação imobiliária</v>
      </c>
    </row>
    <row r="1467" spans="1:3" ht="15">
      <c r="A1467">
        <v>5</v>
      </c>
      <c r="B1467" t="str">
        <f>"68311"</f>
        <v>68311</v>
      </c>
      <c r="C1467" t="str">
        <f>"Actividades de mediação imobiliária"</f>
        <v>Actividades de mediação imobiliária</v>
      </c>
    </row>
    <row r="1468" spans="1:3" ht="15">
      <c r="A1468">
        <v>5</v>
      </c>
      <c r="B1468" t="str">
        <f>"68312"</f>
        <v>68312</v>
      </c>
      <c r="C1468" t="str">
        <f>"Actividades de angariação imobiliária"</f>
        <v>Actividades de angariação imobiliária</v>
      </c>
    </row>
    <row r="1469" spans="1:3" ht="15">
      <c r="A1469">
        <v>5</v>
      </c>
      <c r="B1469" t="str">
        <f>"68313"</f>
        <v>68313</v>
      </c>
      <c r="C1469" t="str">
        <f>"Actividades de avaliação imobiliária"</f>
        <v>Actividades de avaliação imobiliária</v>
      </c>
    </row>
    <row r="1470" spans="1:3" ht="15">
      <c r="A1470">
        <v>4</v>
      </c>
      <c r="B1470" t="str">
        <f>"6832"</f>
        <v>6832</v>
      </c>
      <c r="C1470" t="str">
        <f>"Administração de imóveis por conta de outrem; administração de condomínios"</f>
        <v>Administração de imóveis por conta de outrem; administração de condomínios</v>
      </c>
    </row>
    <row r="1471" spans="1:3" ht="15">
      <c r="A1471">
        <v>5</v>
      </c>
      <c r="B1471" t="str">
        <f>"68321"</f>
        <v>68321</v>
      </c>
      <c r="C1471" t="str">
        <f>"Administração de imóveis por conta de outrem"</f>
        <v>Administração de imóveis por conta de outrem</v>
      </c>
    </row>
    <row r="1472" spans="1:3" ht="15">
      <c r="A1472">
        <v>5</v>
      </c>
      <c r="B1472" t="str">
        <f>"68322"</f>
        <v>68322</v>
      </c>
      <c r="C1472" t="str">
        <f>"Administração de condomínios"</f>
        <v>Administração de condomínios</v>
      </c>
    </row>
    <row r="1473" spans="1:3" ht="15">
      <c r="A1473">
        <v>1</v>
      </c>
      <c r="B1473" t="str">
        <f>"M"</f>
        <v>M</v>
      </c>
      <c r="C1473" t="str">
        <f>"Actividades de consultoria,  científicas, técnicas e similares"</f>
        <v>Actividades de consultoria,  científicas, técnicas e similares</v>
      </c>
    </row>
    <row r="1474" spans="1:3" ht="15">
      <c r="A1474">
        <v>2</v>
      </c>
      <c r="B1474" t="str">
        <f>"69"</f>
        <v>69</v>
      </c>
      <c r="C1474" t="str">
        <f>"Actividades jurídicas e  de contabilidade"</f>
        <v>Actividades jurídicas e  de contabilidade</v>
      </c>
    </row>
    <row r="1475" spans="1:3" ht="15">
      <c r="A1475">
        <v>3</v>
      </c>
      <c r="B1475" t="str">
        <f>"691"</f>
        <v>691</v>
      </c>
      <c r="C1475" t="str">
        <f>"Actividades jurídicas e dos cartórios notariais"</f>
        <v>Actividades jurídicas e dos cartórios notariais</v>
      </c>
    </row>
    <row r="1476" spans="1:3" ht="15">
      <c r="A1476">
        <v>4</v>
      </c>
      <c r="B1476" t="str">
        <f>"6910"</f>
        <v>6910</v>
      </c>
      <c r="C1476" t="str">
        <f>"Actividades jurídicas e dos cartórios notariais"</f>
        <v>Actividades jurídicas e dos cartórios notariais</v>
      </c>
    </row>
    <row r="1477" spans="1:3" ht="15">
      <c r="A1477">
        <v>5</v>
      </c>
      <c r="B1477" t="str">
        <f>"69101"</f>
        <v>69101</v>
      </c>
      <c r="C1477" t="str">
        <f>"Actividades jurídicas"</f>
        <v>Actividades jurídicas</v>
      </c>
    </row>
    <row r="1478" spans="1:3" ht="15">
      <c r="A1478">
        <v>5</v>
      </c>
      <c r="B1478" t="str">
        <f>"69102"</f>
        <v>69102</v>
      </c>
      <c r="C1478" t="str">
        <f>"Actividades dos cartórios notariais"</f>
        <v>Actividades dos cartórios notariais</v>
      </c>
    </row>
    <row r="1479" spans="1:3" ht="15">
      <c r="A1479">
        <v>3</v>
      </c>
      <c r="B1479" t="str">
        <f>"692"</f>
        <v>692</v>
      </c>
      <c r="C1479" t="str">
        <f>"Actividades de contabilidade e auditoria;  consultoria fiscal"</f>
        <v>Actividades de contabilidade e auditoria;  consultoria fiscal</v>
      </c>
    </row>
    <row r="1480" spans="1:3" ht="15">
      <c r="A1480">
        <v>4</v>
      </c>
      <c r="B1480" t="str">
        <f>"6920"</f>
        <v>6920</v>
      </c>
      <c r="C1480" t="str">
        <f>"Actividades de contabilidade e auditoria;  consultoria fiscal"</f>
        <v>Actividades de contabilidade e auditoria;  consultoria fiscal</v>
      </c>
    </row>
    <row r="1481" spans="1:3" ht="15">
      <c r="A1481">
        <v>5</v>
      </c>
      <c r="B1481" t="str">
        <f>"69200"</f>
        <v>69200</v>
      </c>
      <c r="C1481" t="str">
        <f>"Actividades de contabilidade e auditoria;  consultoria fiscal"</f>
        <v>Actividades de contabilidade e auditoria;  consultoria fiscal</v>
      </c>
    </row>
    <row r="1482" spans="1:3" ht="15">
      <c r="A1482">
        <v>2</v>
      </c>
      <c r="B1482" t="str">
        <f>"70"</f>
        <v>70</v>
      </c>
      <c r="C1482" t="str">
        <f>"Actividades das sedes sociais e de consultoria para a gestão"</f>
        <v>Actividades das sedes sociais e de consultoria para a gestão</v>
      </c>
    </row>
    <row r="1483" spans="1:3" ht="15">
      <c r="A1483">
        <v>3</v>
      </c>
      <c r="B1483" t="str">
        <f>"701"</f>
        <v>701</v>
      </c>
      <c r="C1483" t="str">
        <f>"Actividades das sedes sociais"</f>
        <v>Actividades das sedes sociais</v>
      </c>
    </row>
    <row r="1484" spans="1:3" ht="15">
      <c r="A1484">
        <v>4</v>
      </c>
      <c r="B1484" t="str">
        <f>"7010"</f>
        <v>7010</v>
      </c>
      <c r="C1484" t="str">
        <f>"Actividades das sedes sociais"</f>
        <v>Actividades das sedes sociais</v>
      </c>
    </row>
    <row r="1485" spans="1:3" ht="15">
      <c r="A1485">
        <v>5</v>
      </c>
      <c r="B1485" t="str">
        <f>"70100"</f>
        <v>70100</v>
      </c>
      <c r="C1485" t="str">
        <f>"Actividades das sedes sociais"</f>
        <v>Actividades das sedes sociais</v>
      </c>
    </row>
    <row r="1486" spans="1:3" ht="15">
      <c r="A1486">
        <v>3</v>
      </c>
      <c r="B1486" t="str">
        <f>"702"</f>
        <v>702</v>
      </c>
      <c r="C1486" t="str">
        <f>"Actividades de consultoria para os negócios e a gestão"</f>
        <v>Actividades de consultoria para os negócios e a gestão</v>
      </c>
    </row>
    <row r="1487" spans="1:3" ht="15">
      <c r="A1487">
        <v>4</v>
      </c>
      <c r="B1487" t="str">
        <f>"7021"</f>
        <v>7021</v>
      </c>
      <c r="C1487" t="str">
        <f>"Actividades de relações públicas e comunicação"</f>
        <v>Actividades de relações públicas e comunicação</v>
      </c>
    </row>
    <row r="1488" spans="1:3" ht="15">
      <c r="A1488">
        <v>5</v>
      </c>
      <c r="B1488" t="str">
        <f>"70210"</f>
        <v>70210</v>
      </c>
      <c r="C1488" t="str">
        <f>"Actividades de relações públicas e comunicação"</f>
        <v>Actividades de relações públicas e comunicação</v>
      </c>
    </row>
    <row r="1489" spans="1:3" ht="15">
      <c r="A1489">
        <v>4</v>
      </c>
      <c r="B1489" t="str">
        <f>"7022"</f>
        <v>7022</v>
      </c>
      <c r="C1489" t="str">
        <f>"Outras actividades de consultoria para os negócios e a gestão"</f>
        <v>Outras actividades de consultoria para os negócios e a gestão</v>
      </c>
    </row>
    <row r="1490" spans="1:3" ht="15">
      <c r="A1490">
        <v>5</v>
      </c>
      <c r="B1490" t="str">
        <f>"70220"</f>
        <v>70220</v>
      </c>
      <c r="C1490" t="str">
        <f>"Outras actividades de consultoria para os negócios e a gestão"</f>
        <v>Outras actividades de consultoria para os negócios e a gestão</v>
      </c>
    </row>
    <row r="1491" spans="1:3" ht="15">
      <c r="A1491">
        <v>2</v>
      </c>
      <c r="B1491" t="str">
        <f>"71"</f>
        <v>71</v>
      </c>
      <c r="C1491" t="str">
        <f>"Actividades de arquitectura, de engenharia e técnicas afins; actividades de ensaios e de análises técnicas"</f>
        <v>Actividades de arquitectura, de engenharia e técnicas afins; actividades de ensaios e de análises técnicas</v>
      </c>
    </row>
    <row r="1492" spans="1:3" ht="15">
      <c r="A1492">
        <v>3</v>
      </c>
      <c r="B1492" t="str">
        <f>"711"</f>
        <v>711</v>
      </c>
      <c r="C1492" t="str">
        <f>"Actividades de arquitectura, de engenharia e técnicas afins"</f>
        <v>Actividades de arquitectura, de engenharia e técnicas afins</v>
      </c>
    </row>
    <row r="1493" spans="1:3" ht="15">
      <c r="A1493">
        <v>4</v>
      </c>
      <c r="B1493" t="str">
        <f>"7111"</f>
        <v>7111</v>
      </c>
      <c r="C1493" t="str">
        <f>"Actividades de arquitectura"</f>
        <v>Actividades de arquitectura</v>
      </c>
    </row>
    <row r="1494" spans="1:3" ht="15">
      <c r="A1494">
        <v>5</v>
      </c>
      <c r="B1494" t="str">
        <f>"71110"</f>
        <v>71110</v>
      </c>
      <c r="C1494" t="str">
        <f>"Actividades de arquitectura"</f>
        <v>Actividades de arquitectura</v>
      </c>
    </row>
    <row r="1495" spans="1:3" ht="15">
      <c r="A1495">
        <v>4</v>
      </c>
      <c r="B1495" t="str">
        <f>"7112"</f>
        <v>7112</v>
      </c>
      <c r="C1495" t="str">
        <f>"Actividades de engenharia e técnicas afins"</f>
        <v>Actividades de engenharia e técnicas afins</v>
      </c>
    </row>
    <row r="1496" spans="1:3" ht="15">
      <c r="A1496">
        <v>5</v>
      </c>
      <c r="B1496" t="str">
        <f>"71120"</f>
        <v>71120</v>
      </c>
      <c r="C1496" t="str">
        <f>"Actividades de engenharia e técnicas afins"</f>
        <v>Actividades de engenharia e técnicas afins</v>
      </c>
    </row>
    <row r="1497" spans="1:3" ht="15">
      <c r="A1497">
        <v>3</v>
      </c>
      <c r="B1497" t="str">
        <f>"712"</f>
        <v>712</v>
      </c>
      <c r="C1497" t="str">
        <f>"Actividades de ensaios e análises técnicas"</f>
        <v>Actividades de ensaios e análises técnicas</v>
      </c>
    </row>
    <row r="1498" spans="1:3" ht="15">
      <c r="A1498">
        <v>4</v>
      </c>
      <c r="B1498" t="str">
        <f>"7120"</f>
        <v>7120</v>
      </c>
      <c r="C1498" t="str">
        <f>"Actividades de ensaios e análises técnicas"</f>
        <v>Actividades de ensaios e análises técnicas</v>
      </c>
    </row>
    <row r="1499" spans="1:3" ht="15">
      <c r="A1499">
        <v>5</v>
      </c>
      <c r="B1499" t="str">
        <f>"71200"</f>
        <v>71200</v>
      </c>
      <c r="C1499" t="str">
        <f>"Actividades de ensaios e análises técnicas"</f>
        <v>Actividades de ensaios e análises técnicas</v>
      </c>
    </row>
    <row r="1500" spans="1:3" ht="15">
      <c r="A1500">
        <v>2</v>
      </c>
      <c r="B1500" t="str">
        <f>"72"</f>
        <v>72</v>
      </c>
      <c r="C1500" t="str">
        <f>"Actividades de investigação científica e de desenvolvimento"</f>
        <v>Actividades de investigação científica e de desenvolvimento</v>
      </c>
    </row>
    <row r="1501" spans="1:3" ht="15">
      <c r="A1501">
        <v>3</v>
      </c>
      <c r="B1501" t="str">
        <f>"721"</f>
        <v>721</v>
      </c>
      <c r="C1501" t="str">
        <f>"Investigação e desenvolvimento das ciências físicas e naturais"</f>
        <v>Investigação e desenvolvimento das ciências físicas e naturais</v>
      </c>
    </row>
    <row r="1502" spans="1:3" ht="15">
      <c r="A1502">
        <v>4</v>
      </c>
      <c r="B1502" t="str">
        <f>"7211"</f>
        <v>7211</v>
      </c>
      <c r="C1502" t="str">
        <f>"Investigação e desenvolvimento em biotecnologia"</f>
        <v>Investigação e desenvolvimento em biotecnologia</v>
      </c>
    </row>
    <row r="1503" spans="1:3" ht="15">
      <c r="A1503">
        <v>5</v>
      </c>
      <c r="B1503" t="str">
        <f>"72110"</f>
        <v>72110</v>
      </c>
      <c r="C1503" t="str">
        <f>"Investigação e desenvolvimento em biotecnologia"</f>
        <v>Investigação e desenvolvimento em biotecnologia</v>
      </c>
    </row>
    <row r="1504" spans="1:3" ht="15">
      <c r="A1504">
        <v>4</v>
      </c>
      <c r="B1504" t="str">
        <f>"7219"</f>
        <v>7219</v>
      </c>
      <c r="C1504" t="str">
        <f>"Outra investigação e desenvolvimento das ciências físicas e naturais"</f>
        <v>Outra investigação e desenvolvimento das ciências físicas e naturais</v>
      </c>
    </row>
    <row r="1505" spans="1:3" ht="15">
      <c r="A1505">
        <v>5</v>
      </c>
      <c r="B1505" t="str">
        <f>"72190"</f>
        <v>72190</v>
      </c>
      <c r="C1505" t="str">
        <f>"Outra investigação e desenvolvimento das ciências físicas e naturais"</f>
        <v>Outra investigação e desenvolvimento das ciências físicas e naturais</v>
      </c>
    </row>
    <row r="1506" spans="1:3" ht="15">
      <c r="A1506">
        <v>3</v>
      </c>
      <c r="B1506" t="str">
        <f>"722"</f>
        <v>722</v>
      </c>
      <c r="C1506" t="str">
        <f>"Investigação e desenvolvimento das ciências sociais e humanas"</f>
        <v>Investigação e desenvolvimento das ciências sociais e humanas</v>
      </c>
    </row>
    <row r="1507" spans="1:3" ht="15">
      <c r="A1507">
        <v>4</v>
      </c>
      <c r="B1507" t="str">
        <f>"7220"</f>
        <v>7220</v>
      </c>
      <c r="C1507" t="str">
        <f>"Investigação e desenvolvimento das ciências sociais e humanas"</f>
        <v>Investigação e desenvolvimento das ciências sociais e humanas</v>
      </c>
    </row>
    <row r="1508" spans="1:3" ht="15">
      <c r="A1508">
        <v>5</v>
      </c>
      <c r="B1508" t="str">
        <f>"72200"</f>
        <v>72200</v>
      </c>
      <c r="C1508" t="str">
        <f>"Investigação e desenvolvimento das ciências sociais e humanas"</f>
        <v>Investigação e desenvolvimento das ciências sociais e humanas</v>
      </c>
    </row>
    <row r="1509" spans="1:3" ht="15">
      <c r="A1509">
        <v>2</v>
      </c>
      <c r="B1509" t="str">
        <f>"73"</f>
        <v>73</v>
      </c>
      <c r="C1509" t="str">
        <f>"Publicidade,  estudos de mercado e sondagens de opinião"</f>
        <v>Publicidade,  estudos de mercado e sondagens de opinião</v>
      </c>
    </row>
    <row r="1510" spans="1:3" ht="15">
      <c r="A1510">
        <v>3</v>
      </c>
      <c r="B1510" t="str">
        <f>"731"</f>
        <v>731</v>
      </c>
      <c r="C1510" t="str">
        <f>"Publicidade"</f>
        <v>Publicidade</v>
      </c>
    </row>
    <row r="1511" spans="1:3" ht="15">
      <c r="A1511">
        <v>4</v>
      </c>
      <c r="B1511" t="str">
        <f>"7311"</f>
        <v>7311</v>
      </c>
      <c r="C1511" t="str">
        <f>"Agências de publicidade"</f>
        <v>Agências de publicidade</v>
      </c>
    </row>
    <row r="1512" spans="1:3" ht="15">
      <c r="A1512">
        <v>5</v>
      </c>
      <c r="B1512" t="str">
        <f>"73110"</f>
        <v>73110</v>
      </c>
      <c r="C1512" t="str">
        <f>"Agências de publicidade"</f>
        <v>Agências de publicidade</v>
      </c>
    </row>
    <row r="1513" spans="1:3" ht="15">
      <c r="A1513">
        <v>4</v>
      </c>
      <c r="B1513" t="str">
        <f>"7312"</f>
        <v>7312</v>
      </c>
      <c r="C1513" t="str">
        <f>"Actividades de representação nos meios de comunicação"</f>
        <v>Actividades de representação nos meios de comunicação</v>
      </c>
    </row>
    <row r="1514" spans="1:3" ht="15">
      <c r="A1514">
        <v>5</v>
      </c>
      <c r="B1514" t="str">
        <f>"73120"</f>
        <v>73120</v>
      </c>
      <c r="C1514" t="str">
        <f>"Actividades de representação nos meios de comunicação"</f>
        <v>Actividades de representação nos meios de comunicação</v>
      </c>
    </row>
    <row r="1515" spans="1:3" ht="15">
      <c r="A1515">
        <v>3</v>
      </c>
      <c r="B1515" t="str">
        <f>"732"</f>
        <v>732</v>
      </c>
      <c r="C1515" t="str">
        <f>"Estudos de mercado e sondagens de opinião"</f>
        <v>Estudos de mercado e sondagens de opinião</v>
      </c>
    </row>
    <row r="1516" spans="1:3" ht="15">
      <c r="A1516">
        <v>4</v>
      </c>
      <c r="B1516" t="str">
        <f>"7320"</f>
        <v>7320</v>
      </c>
      <c r="C1516" t="str">
        <f>"Estudos de mercado e sondagens de opinião"</f>
        <v>Estudos de mercado e sondagens de opinião</v>
      </c>
    </row>
    <row r="1517" spans="1:3" ht="15">
      <c r="A1517">
        <v>5</v>
      </c>
      <c r="B1517" t="str">
        <f>"73200"</f>
        <v>73200</v>
      </c>
      <c r="C1517" t="str">
        <f>"Estudos de mercado e sondagens de opinião"</f>
        <v>Estudos de mercado e sondagens de opinião</v>
      </c>
    </row>
    <row r="1518" spans="1:3" ht="15">
      <c r="A1518">
        <v>2</v>
      </c>
      <c r="B1518" t="str">
        <f>"74"</f>
        <v>74</v>
      </c>
      <c r="C1518" t="str">
        <f>"Outras actividades de consultoria,  científicas, técnicas e similares"</f>
        <v>Outras actividades de consultoria,  científicas, técnicas e similares</v>
      </c>
    </row>
    <row r="1519" spans="1:3" ht="15">
      <c r="A1519">
        <v>3</v>
      </c>
      <c r="B1519" t="str">
        <f>"741"</f>
        <v>741</v>
      </c>
      <c r="C1519" t="str">
        <f>"Actividades de design"</f>
        <v>Actividades de design</v>
      </c>
    </row>
    <row r="1520" spans="1:3" ht="15">
      <c r="A1520">
        <v>4</v>
      </c>
      <c r="B1520" t="str">
        <f>"7410"</f>
        <v>7410</v>
      </c>
      <c r="C1520" t="str">
        <f>"Actividades de design"</f>
        <v>Actividades de design</v>
      </c>
    </row>
    <row r="1521" spans="1:3" ht="15">
      <c r="A1521">
        <v>5</v>
      </c>
      <c r="B1521" t="str">
        <f>"74100"</f>
        <v>74100</v>
      </c>
      <c r="C1521" t="str">
        <f>"Actividades de design"</f>
        <v>Actividades de design</v>
      </c>
    </row>
    <row r="1522" spans="1:3" ht="15">
      <c r="A1522">
        <v>3</v>
      </c>
      <c r="B1522" t="str">
        <f>"742"</f>
        <v>742</v>
      </c>
      <c r="C1522" t="str">
        <f>"Actividades fotográficas"</f>
        <v>Actividades fotográficas</v>
      </c>
    </row>
    <row r="1523" spans="1:3" ht="15">
      <c r="A1523">
        <v>4</v>
      </c>
      <c r="B1523" t="str">
        <f>"7420"</f>
        <v>7420</v>
      </c>
      <c r="C1523" t="str">
        <f>"Actividades fotográficas"</f>
        <v>Actividades fotográficas</v>
      </c>
    </row>
    <row r="1524" spans="1:3" ht="15">
      <c r="A1524">
        <v>5</v>
      </c>
      <c r="B1524" t="str">
        <f>"74200"</f>
        <v>74200</v>
      </c>
      <c r="C1524" t="str">
        <f>"Actividades fotográficas"</f>
        <v>Actividades fotográficas</v>
      </c>
    </row>
    <row r="1525" spans="1:3" ht="15">
      <c r="A1525">
        <v>3</v>
      </c>
      <c r="B1525" t="str">
        <f>"743"</f>
        <v>743</v>
      </c>
      <c r="C1525" t="str">
        <f>"Actividades de tradução e interpretação"</f>
        <v>Actividades de tradução e interpretação</v>
      </c>
    </row>
    <row r="1526" spans="1:3" ht="15">
      <c r="A1526">
        <v>4</v>
      </c>
      <c r="B1526" t="str">
        <f>"7430"</f>
        <v>7430</v>
      </c>
      <c r="C1526" t="str">
        <f>"Actividades de tradução e interpretação"</f>
        <v>Actividades de tradução e interpretação</v>
      </c>
    </row>
    <row r="1527" spans="1:3" ht="15">
      <c r="A1527">
        <v>5</v>
      </c>
      <c r="B1527" t="str">
        <f>"74300"</f>
        <v>74300</v>
      </c>
      <c r="C1527" t="str">
        <f>"Actividades de tradução e interpretação"</f>
        <v>Actividades de tradução e interpretação</v>
      </c>
    </row>
    <row r="1528" spans="1:3" ht="15">
      <c r="A1528">
        <v>3</v>
      </c>
      <c r="B1528" t="str">
        <f>"749"</f>
        <v>749</v>
      </c>
      <c r="C1528" t="str">
        <f>"Outras actividades de consultoria, científicas, técnicas e similares, n.e."</f>
        <v>Outras actividades de consultoria, científicas, técnicas e similares, n.e.</v>
      </c>
    </row>
    <row r="1529" spans="1:3" ht="15">
      <c r="A1529">
        <v>4</v>
      </c>
      <c r="B1529" t="str">
        <f>"7490"</f>
        <v>7490</v>
      </c>
      <c r="C1529" t="str">
        <f>"Outras actividades de consultoria, científicas, técnicas e similares, n.e."</f>
        <v>Outras actividades de consultoria, científicas, técnicas e similares, n.e.</v>
      </c>
    </row>
    <row r="1530" spans="1:3" ht="15">
      <c r="A1530">
        <v>5</v>
      </c>
      <c r="B1530" t="str">
        <f>"74900"</f>
        <v>74900</v>
      </c>
      <c r="C1530" t="str">
        <f>"Outras actividades de consultoria,  científicas, técnicas e similares, n.e."</f>
        <v>Outras actividades de consultoria,  científicas, técnicas e similares, n.e.</v>
      </c>
    </row>
    <row r="1531" spans="1:3" ht="15">
      <c r="A1531">
        <v>2</v>
      </c>
      <c r="B1531" t="str">
        <f>"75"</f>
        <v>75</v>
      </c>
      <c r="C1531" t="str">
        <f>"Actividades veterinárias"</f>
        <v>Actividades veterinárias</v>
      </c>
    </row>
    <row r="1532" spans="1:3" ht="15">
      <c r="A1532">
        <v>3</v>
      </c>
      <c r="B1532" t="str">
        <f>"750"</f>
        <v>750</v>
      </c>
      <c r="C1532" t="str">
        <f>"Actividades veterinárias"</f>
        <v>Actividades veterinárias</v>
      </c>
    </row>
    <row r="1533" spans="1:3" ht="15">
      <c r="A1533">
        <v>4</v>
      </c>
      <c r="B1533" t="str">
        <f>"7500"</f>
        <v>7500</v>
      </c>
      <c r="C1533" t="str">
        <f>"Actividades veterinárias"</f>
        <v>Actividades veterinárias</v>
      </c>
    </row>
    <row r="1534" spans="1:3" ht="15">
      <c r="A1534">
        <v>5</v>
      </c>
      <c r="B1534" t="str">
        <f>"75000"</f>
        <v>75000</v>
      </c>
      <c r="C1534" t="str">
        <f>"Actividades veterinárias"</f>
        <v>Actividades veterinárias</v>
      </c>
    </row>
    <row r="1535" spans="1:3" ht="15">
      <c r="A1535">
        <v>1</v>
      </c>
      <c r="B1535" t="str">
        <f>"N"</f>
        <v>N</v>
      </c>
      <c r="C1535" t="str">
        <f>"Actividades administrativas e dos serviços de apoio"</f>
        <v>Actividades administrativas e dos serviços de apoio</v>
      </c>
    </row>
    <row r="1536" spans="1:3" ht="15">
      <c r="A1536">
        <v>2</v>
      </c>
      <c r="B1536" t="str">
        <f>"77"</f>
        <v>77</v>
      </c>
      <c r="C1536" t="str">
        <f>"Actividades de aluguer"</f>
        <v>Actividades de aluguer</v>
      </c>
    </row>
    <row r="1537" spans="1:3" ht="15">
      <c r="A1537">
        <v>3</v>
      </c>
      <c r="B1537" t="str">
        <f>"771"</f>
        <v>771</v>
      </c>
      <c r="C1537" t="str">
        <f>"Aluguer de veículos automóveis"</f>
        <v>Aluguer de veículos automóveis</v>
      </c>
    </row>
    <row r="1538" spans="1:3" ht="15">
      <c r="A1538">
        <v>4</v>
      </c>
      <c r="B1538" t="str">
        <f>"7711"</f>
        <v>7711</v>
      </c>
      <c r="C1538" t="str">
        <f>"Aluguer de veículos automóveis ligeiros"</f>
        <v>Aluguer de veículos automóveis ligeiros</v>
      </c>
    </row>
    <row r="1539" spans="1:3" ht="15">
      <c r="A1539">
        <v>5</v>
      </c>
      <c r="B1539" t="str">
        <f>"77110"</f>
        <v>77110</v>
      </c>
      <c r="C1539" t="str">
        <f>"Aluguer de veículos automóveis ligeiros"</f>
        <v>Aluguer de veículos automóveis ligeiros</v>
      </c>
    </row>
    <row r="1540" spans="1:3" ht="15">
      <c r="A1540">
        <v>4</v>
      </c>
      <c r="B1540" t="str">
        <f>"7712"</f>
        <v>7712</v>
      </c>
      <c r="C1540" t="str">
        <f>"Aluguer de veículos automóveis pesados"</f>
        <v>Aluguer de veículos automóveis pesados</v>
      </c>
    </row>
    <row r="1541" spans="1:3" ht="15">
      <c r="A1541">
        <v>5</v>
      </c>
      <c r="B1541" t="str">
        <f>"77120"</f>
        <v>77120</v>
      </c>
      <c r="C1541" t="str">
        <f>"Aluguer de veículos automóveis pesados"</f>
        <v>Aluguer de veículos automóveis pesados</v>
      </c>
    </row>
    <row r="1542" spans="1:3" ht="15">
      <c r="A1542">
        <v>3</v>
      </c>
      <c r="B1542" t="str">
        <f>"772"</f>
        <v>772</v>
      </c>
      <c r="C1542" t="str">
        <f>"Aluguer de bens de uso pessoal e doméstico"</f>
        <v>Aluguer de bens de uso pessoal e doméstico</v>
      </c>
    </row>
    <row r="1543" spans="1:3" ht="15">
      <c r="A1543">
        <v>4</v>
      </c>
      <c r="B1543" t="str">
        <f>"7721"</f>
        <v>7721</v>
      </c>
      <c r="C1543" t="str">
        <f>"Aluguer de bens  recreativos e desportivos"</f>
        <v>Aluguer de bens  recreativos e desportivos</v>
      </c>
    </row>
    <row r="1544" spans="1:3" ht="15">
      <c r="A1544">
        <v>5</v>
      </c>
      <c r="B1544" t="str">
        <f>"77210"</f>
        <v>77210</v>
      </c>
      <c r="C1544" t="str">
        <f>"Aluguer de bens  recreativos e desportivos"</f>
        <v>Aluguer de bens  recreativos e desportivos</v>
      </c>
    </row>
    <row r="1545" spans="1:3" ht="15">
      <c r="A1545">
        <v>4</v>
      </c>
      <c r="B1545" t="str">
        <f>"7722"</f>
        <v>7722</v>
      </c>
      <c r="C1545" t="str">
        <f>"Aluguer de videocassetes e discos"</f>
        <v>Aluguer de videocassetes e discos</v>
      </c>
    </row>
    <row r="1546" spans="1:3" ht="15">
      <c r="A1546">
        <v>5</v>
      </c>
      <c r="B1546" t="str">
        <f>"77220"</f>
        <v>77220</v>
      </c>
      <c r="C1546" t="str">
        <f>"Aluguer de videocassetes e discos"</f>
        <v>Aluguer de videocassetes e discos</v>
      </c>
    </row>
    <row r="1547" spans="1:3" ht="15">
      <c r="A1547">
        <v>4</v>
      </c>
      <c r="B1547" t="str">
        <f>"7729"</f>
        <v>7729</v>
      </c>
      <c r="C1547" t="str">
        <f>"Aluguer de outros bens de uso pessoal e doméstico"</f>
        <v>Aluguer de outros bens de uso pessoal e doméstico</v>
      </c>
    </row>
    <row r="1548" spans="1:3" ht="15">
      <c r="A1548">
        <v>5</v>
      </c>
      <c r="B1548" t="str">
        <f>"77290"</f>
        <v>77290</v>
      </c>
      <c r="C1548" t="str">
        <f>"Aluguer de outros bens de uso pessoal e doméstico"</f>
        <v>Aluguer de outros bens de uso pessoal e doméstico</v>
      </c>
    </row>
    <row r="1549" spans="1:3" ht="15">
      <c r="A1549">
        <v>3</v>
      </c>
      <c r="B1549" t="str">
        <f>"773"</f>
        <v>773</v>
      </c>
      <c r="C1549" t="str">
        <f>"Aluguer de outras máquinas e equipamentos"</f>
        <v>Aluguer de outras máquinas e equipamentos</v>
      </c>
    </row>
    <row r="1550" spans="1:3" ht="15">
      <c r="A1550">
        <v>4</v>
      </c>
      <c r="B1550" t="str">
        <f>"7731"</f>
        <v>7731</v>
      </c>
      <c r="C1550" t="str">
        <f>"Aluguer de máquinas e equipamentos agrícolas"</f>
        <v>Aluguer de máquinas e equipamentos agrícolas</v>
      </c>
    </row>
    <row r="1551" spans="1:3" ht="15">
      <c r="A1551">
        <v>5</v>
      </c>
      <c r="B1551" t="str">
        <f>"77310"</f>
        <v>77310</v>
      </c>
      <c r="C1551" t="str">
        <f>"Aluguer de máquinas e equipamentos agrícolas"</f>
        <v>Aluguer de máquinas e equipamentos agrícolas</v>
      </c>
    </row>
    <row r="1552" spans="1:3" ht="15">
      <c r="A1552">
        <v>4</v>
      </c>
      <c r="B1552" t="str">
        <f>"7732"</f>
        <v>7732</v>
      </c>
      <c r="C1552" t="str">
        <f>"Aluguer de máquinas e equipamentos para a construção e engenharia civil"</f>
        <v>Aluguer de máquinas e equipamentos para a construção e engenharia civil</v>
      </c>
    </row>
    <row r="1553" spans="1:3" ht="15">
      <c r="A1553">
        <v>5</v>
      </c>
      <c r="B1553" t="str">
        <f>"77320"</f>
        <v>77320</v>
      </c>
      <c r="C1553" t="str">
        <f>"Aluguer de máquinas e equipamentos para a construção e engenharia civil"</f>
        <v>Aluguer de máquinas e equipamentos para a construção e engenharia civil</v>
      </c>
    </row>
    <row r="1554" spans="1:3" ht="15">
      <c r="A1554">
        <v>4</v>
      </c>
      <c r="B1554" t="str">
        <f>"7733"</f>
        <v>7733</v>
      </c>
      <c r="C1554" t="str">
        <f>"Aluguer de máquinas e equipamentos de escritório (inclui computadores)"</f>
        <v>Aluguer de máquinas e equipamentos de escritório (inclui computadores)</v>
      </c>
    </row>
    <row r="1555" spans="1:3" ht="15">
      <c r="A1555">
        <v>5</v>
      </c>
      <c r="B1555" t="str">
        <f>"77330"</f>
        <v>77330</v>
      </c>
      <c r="C1555" t="str">
        <f>"Aluguer de máquinas e equipamentos de escritório (inclui computadores)"</f>
        <v>Aluguer de máquinas e equipamentos de escritório (inclui computadores)</v>
      </c>
    </row>
    <row r="1556" spans="1:3" ht="15">
      <c r="A1556">
        <v>4</v>
      </c>
      <c r="B1556" t="str">
        <f>"7734"</f>
        <v>7734</v>
      </c>
      <c r="C1556" t="str">
        <f>"Aluguer de meios de transporte marítimo e fluvial"</f>
        <v>Aluguer de meios de transporte marítimo e fluvial</v>
      </c>
    </row>
    <row r="1557" spans="1:3" ht="15">
      <c r="A1557">
        <v>5</v>
      </c>
      <c r="B1557" t="str">
        <f>"77340"</f>
        <v>77340</v>
      </c>
      <c r="C1557" t="str">
        <f>"Aluguer de meios de transporte marítimo e fluvial"</f>
        <v>Aluguer de meios de transporte marítimo e fluvial</v>
      </c>
    </row>
    <row r="1558" spans="1:3" ht="15">
      <c r="A1558">
        <v>4</v>
      </c>
      <c r="B1558" t="str">
        <f>"7735"</f>
        <v>7735</v>
      </c>
      <c r="C1558" t="str">
        <f>"Aluguer de meios de transporte aéreo"</f>
        <v>Aluguer de meios de transporte aéreo</v>
      </c>
    </row>
    <row r="1559" spans="1:3" ht="15">
      <c r="A1559">
        <v>5</v>
      </c>
      <c r="B1559" t="str">
        <f>"77350"</f>
        <v>77350</v>
      </c>
      <c r="C1559" t="str">
        <f>"Aluguer de meios de transporte aéreo"</f>
        <v>Aluguer de meios de transporte aéreo</v>
      </c>
    </row>
    <row r="1560" spans="1:3" ht="15">
      <c r="A1560">
        <v>4</v>
      </c>
      <c r="B1560" t="str">
        <f>"7739"</f>
        <v>7739</v>
      </c>
      <c r="C1560" t="str">
        <f>"Aluguer de outras máquinas e equipamentos, n.e."</f>
        <v>Aluguer de outras máquinas e equipamentos, n.e.</v>
      </c>
    </row>
    <row r="1561" spans="1:3" ht="15">
      <c r="A1561">
        <v>5</v>
      </c>
      <c r="B1561" t="str">
        <f>"77390"</f>
        <v>77390</v>
      </c>
      <c r="C1561" t="str">
        <f>"Aluguer de outras máquinas e equipamentos, n.e."</f>
        <v>Aluguer de outras máquinas e equipamentos, n.e.</v>
      </c>
    </row>
    <row r="1562" spans="1:3" ht="15">
      <c r="A1562">
        <v>3</v>
      </c>
      <c r="B1562" t="str">
        <f>"774"</f>
        <v>774</v>
      </c>
      <c r="C1562" t="str">
        <f>"Locação de propriedade intelectual e produtos similares, excepto direitos de autor"</f>
        <v>Locação de propriedade intelectual e produtos similares, excepto direitos de autor</v>
      </c>
    </row>
    <row r="1563" spans="1:3" ht="15">
      <c r="A1563">
        <v>4</v>
      </c>
      <c r="B1563" t="str">
        <f>"7740"</f>
        <v>7740</v>
      </c>
      <c r="C1563" t="str">
        <f>"Locação de propriedade intelectual e produtos similares, excepto direitos de autor"</f>
        <v>Locação de propriedade intelectual e produtos similares, excepto direitos de autor</v>
      </c>
    </row>
    <row r="1564" spans="1:3" ht="15">
      <c r="A1564">
        <v>5</v>
      </c>
      <c r="B1564" t="str">
        <f>"77400"</f>
        <v>77400</v>
      </c>
      <c r="C1564" t="str">
        <f>"Locação de propriedade intelectual e produtos similares, excepto direitos de autor"</f>
        <v>Locação de propriedade intelectual e produtos similares, excepto direitos de autor</v>
      </c>
    </row>
    <row r="1565" spans="1:3" ht="15">
      <c r="A1565">
        <v>2</v>
      </c>
      <c r="B1565" t="str">
        <f>"78"</f>
        <v>78</v>
      </c>
      <c r="C1565" t="str">
        <f>"Actividades de emprego"</f>
        <v>Actividades de emprego</v>
      </c>
    </row>
    <row r="1566" spans="1:3" ht="15">
      <c r="A1566">
        <v>3</v>
      </c>
      <c r="B1566" t="str">
        <f>"781"</f>
        <v>781</v>
      </c>
      <c r="C1566" t="str">
        <f>"Actividades das empresas de selecção e colocação de pessoal"</f>
        <v>Actividades das empresas de selecção e colocação de pessoal</v>
      </c>
    </row>
    <row r="1567" spans="1:3" ht="15">
      <c r="A1567">
        <v>4</v>
      </c>
      <c r="B1567" t="str">
        <f>"7810"</f>
        <v>7810</v>
      </c>
      <c r="C1567" t="str">
        <f>"Actividades das empresas de selecção e colocação de pessoal"</f>
        <v>Actividades das empresas de selecção e colocação de pessoal</v>
      </c>
    </row>
    <row r="1568" spans="1:3" ht="15">
      <c r="A1568">
        <v>5</v>
      </c>
      <c r="B1568" t="str">
        <f>"78100"</f>
        <v>78100</v>
      </c>
      <c r="C1568" t="str">
        <f>"Actividades das empresas de selecção e colocação de pessoal"</f>
        <v>Actividades das empresas de selecção e colocação de pessoal</v>
      </c>
    </row>
    <row r="1569" spans="1:3" ht="15">
      <c r="A1569">
        <v>3</v>
      </c>
      <c r="B1569" t="str">
        <f>"782"</f>
        <v>782</v>
      </c>
      <c r="C1569" t="str">
        <f>"Actividades das empresas de trabalho temporário"</f>
        <v>Actividades das empresas de trabalho temporário</v>
      </c>
    </row>
    <row r="1570" spans="1:3" ht="15">
      <c r="A1570">
        <v>4</v>
      </c>
      <c r="B1570" t="str">
        <f>"7820"</f>
        <v>7820</v>
      </c>
      <c r="C1570" t="str">
        <f>"Actividades das empresas de trabalho temporário"</f>
        <v>Actividades das empresas de trabalho temporário</v>
      </c>
    </row>
    <row r="1571" spans="1:3" ht="15">
      <c r="A1571">
        <v>5</v>
      </c>
      <c r="B1571" t="str">
        <f>"78200"</f>
        <v>78200</v>
      </c>
      <c r="C1571" t="str">
        <f>"Actividades das empresas de trabalho temporário"</f>
        <v>Actividades das empresas de trabalho temporário</v>
      </c>
    </row>
    <row r="1572" spans="1:3" ht="15">
      <c r="A1572">
        <v>3</v>
      </c>
      <c r="B1572" t="str">
        <f>"783"</f>
        <v>783</v>
      </c>
      <c r="C1572" t="str">
        <f>"Outro fornecimento de recursos humanos"</f>
        <v>Outro fornecimento de recursos humanos</v>
      </c>
    </row>
    <row r="1573" spans="1:3" ht="15">
      <c r="A1573">
        <v>4</v>
      </c>
      <c r="B1573" t="str">
        <f>"7830"</f>
        <v>7830</v>
      </c>
      <c r="C1573" t="str">
        <f>"Outro fornecimento de recursos humanos"</f>
        <v>Outro fornecimento de recursos humanos</v>
      </c>
    </row>
    <row r="1574" spans="1:3" ht="15">
      <c r="A1574">
        <v>5</v>
      </c>
      <c r="B1574" t="str">
        <f>"78300"</f>
        <v>78300</v>
      </c>
      <c r="C1574" t="str">
        <f>"Outro fornecimento de recursos humanos"</f>
        <v>Outro fornecimento de recursos humanos</v>
      </c>
    </row>
    <row r="1575" spans="1:3" ht="15">
      <c r="A1575">
        <v>2</v>
      </c>
      <c r="B1575" t="str">
        <f>"79"</f>
        <v>79</v>
      </c>
      <c r="C1575" t="str">
        <f>"Agências de viagem, operadores turísticos, outros serviços de reservas e actividades relacionadas"</f>
        <v>Agências de viagem, operadores turísticos, outros serviços de reservas e actividades relacionadas</v>
      </c>
    </row>
    <row r="1576" spans="1:3" ht="15">
      <c r="A1576">
        <v>3</v>
      </c>
      <c r="B1576" t="str">
        <f>"791"</f>
        <v>791</v>
      </c>
      <c r="C1576" t="str">
        <f>"Agências de viagem e operadores turísticos "</f>
        <v>Agências de viagem e operadores turísticos </v>
      </c>
    </row>
    <row r="1577" spans="1:3" ht="15">
      <c r="A1577">
        <v>4</v>
      </c>
      <c r="B1577" t="str">
        <f>"7911"</f>
        <v>7911</v>
      </c>
      <c r="C1577" t="str">
        <f>"Actividades das agências de viagem  "</f>
        <v>Actividades das agências de viagem  </v>
      </c>
    </row>
    <row r="1578" spans="1:3" ht="15">
      <c r="A1578">
        <v>5</v>
      </c>
      <c r="B1578" t="str">
        <f>"79110"</f>
        <v>79110</v>
      </c>
      <c r="C1578" t="str">
        <f>"Actividades das agências de viagem"</f>
        <v>Actividades das agências de viagem</v>
      </c>
    </row>
    <row r="1579" spans="1:3" ht="15">
      <c r="A1579">
        <v>4</v>
      </c>
      <c r="B1579" t="str">
        <f>"7912"</f>
        <v>7912</v>
      </c>
      <c r="C1579" t="str">
        <f>"Actividades dos operadores turísticos"</f>
        <v>Actividades dos operadores turísticos</v>
      </c>
    </row>
    <row r="1580" spans="1:3" ht="15">
      <c r="A1580">
        <v>5</v>
      </c>
      <c r="B1580" t="str">
        <f>"79120"</f>
        <v>79120</v>
      </c>
      <c r="C1580" t="str">
        <f>"Actividades dos operadores turísticos"</f>
        <v>Actividades dos operadores turísticos</v>
      </c>
    </row>
    <row r="1581" spans="1:3" ht="15">
      <c r="A1581">
        <v>3</v>
      </c>
      <c r="B1581" t="str">
        <f>"799"</f>
        <v>799</v>
      </c>
      <c r="C1581" t="str">
        <f>"Outros serviços de reservas e actividades relacionadas"</f>
        <v>Outros serviços de reservas e actividades relacionadas</v>
      </c>
    </row>
    <row r="1582" spans="1:3" ht="15">
      <c r="A1582">
        <v>4</v>
      </c>
      <c r="B1582" t="str">
        <f>"7990"</f>
        <v>7990</v>
      </c>
      <c r="C1582" t="str">
        <f>"Outros serviços de reservas e actividades relacionadas"</f>
        <v>Outros serviços de reservas e actividades relacionadas</v>
      </c>
    </row>
    <row r="1583" spans="1:3" ht="15">
      <c r="A1583">
        <v>5</v>
      </c>
      <c r="B1583" t="str">
        <f>"79900"</f>
        <v>79900</v>
      </c>
      <c r="C1583" t="str">
        <f>"Outros serviços de reservas e actividades relacionadas"</f>
        <v>Outros serviços de reservas e actividades relacionadas</v>
      </c>
    </row>
    <row r="1584" spans="1:3" ht="15">
      <c r="A1584">
        <v>2</v>
      </c>
      <c r="B1584" t="str">
        <f>"80"</f>
        <v>80</v>
      </c>
      <c r="C1584" t="str">
        <f>"Actividades de investigação e segurança"</f>
        <v>Actividades de investigação e segurança</v>
      </c>
    </row>
    <row r="1585" spans="1:3" ht="15">
      <c r="A1585">
        <v>3</v>
      </c>
      <c r="B1585" t="str">
        <f>"801"</f>
        <v>801</v>
      </c>
      <c r="C1585" t="str">
        <f>"Actividades de  segurança privada "</f>
        <v>Actividades de  segurança privada </v>
      </c>
    </row>
    <row r="1586" spans="1:3" ht="15">
      <c r="A1586">
        <v>4</v>
      </c>
      <c r="B1586" t="str">
        <f>"8010"</f>
        <v>8010</v>
      </c>
      <c r="C1586" t="str">
        <f>"Actividades de  segurança privada"</f>
        <v>Actividades de  segurança privada</v>
      </c>
    </row>
    <row r="1587" spans="1:3" ht="15">
      <c r="A1587">
        <v>5</v>
      </c>
      <c r="B1587" t="str">
        <f>"80100"</f>
        <v>80100</v>
      </c>
      <c r="C1587" t="str">
        <f>"Actividades de  segurança privada"</f>
        <v>Actividades de  segurança privada</v>
      </c>
    </row>
    <row r="1588" spans="1:3" ht="15">
      <c r="A1588">
        <v>3</v>
      </c>
      <c r="B1588" t="str">
        <f>"802"</f>
        <v>802</v>
      </c>
      <c r="C1588" t="str">
        <f>"Actividades  relacionadas com sistemas de segurança"</f>
        <v>Actividades  relacionadas com sistemas de segurança</v>
      </c>
    </row>
    <row r="1589" spans="1:3" ht="15">
      <c r="A1589">
        <v>4</v>
      </c>
      <c r="B1589" t="str">
        <f>"8020"</f>
        <v>8020</v>
      </c>
      <c r="C1589" t="str">
        <f>"Actividades  relacionadas com sistemas de segurança"</f>
        <v>Actividades  relacionadas com sistemas de segurança</v>
      </c>
    </row>
    <row r="1590" spans="1:3" ht="15">
      <c r="A1590">
        <v>5</v>
      </c>
      <c r="B1590" t="str">
        <f>"80200"</f>
        <v>80200</v>
      </c>
      <c r="C1590" t="str">
        <f>"Actividades  relacionadas com sistemas de segurança"</f>
        <v>Actividades  relacionadas com sistemas de segurança</v>
      </c>
    </row>
    <row r="1591" spans="1:3" ht="15">
      <c r="A1591">
        <v>3</v>
      </c>
      <c r="B1591" t="str">
        <f>"803"</f>
        <v>803</v>
      </c>
      <c r="C1591" t="str">
        <f>"Actividades de investigação"</f>
        <v>Actividades de investigação</v>
      </c>
    </row>
    <row r="1592" spans="1:3" ht="15">
      <c r="A1592">
        <v>4</v>
      </c>
      <c r="B1592" t="str">
        <f>"8030"</f>
        <v>8030</v>
      </c>
      <c r="C1592" t="str">
        <f>"Actividades de investigação"</f>
        <v>Actividades de investigação</v>
      </c>
    </row>
    <row r="1593" spans="1:3" ht="15">
      <c r="A1593">
        <v>5</v>
      </c>
      <c r="B1593" t="str">
        <f>"80300"</f>
        <v>80300</v>
      </c>
      <c r="C1593" t="str">
        <f>"Actividades de investigação"</f>
        <v>Actividades de investigação</v>
      </c>
    </row>
    <row r="1594" spans="1:3" ht="15">
      <c r="A1594">
        <v>2</v>
      </c>
      <c r="B1594" t="str">
        <f>"81"</f>
        <v>81</v>
      </c>
      <c r="C1594" t="str">
        <f>"Actividades relacionadas com edifícios, plantação e manutenção de jardins"</f>
        <v>Actividades relacionadas com edifícios, plantação e manutenção de jardins</v>
      </c>
    </row>
    <row r="1595" spans="1:3" ht="15">
      <c r="A1595">
        <v>3</v>
      </c>
      <c r="B1595" t="str">
        <f>"811"</f>
        <v>811</v>
      </c>
      <c r="C1595" t="str">
        <f>"Actividades combinadas de apoio aos  edifícios"</f>
        <v>Actividades combinadas de apoio aos  edifícios</v>
      </c>
    </row>
    <row r="1596" spans="1:3" ht="15">
      <c r="A1596">
        <v>4</v>
      </c>
      <c r="B1596" t="str">
        <f>"8110"</f>
        <v>8110</v>
      </c>
      <c r="C1596" t="str">
        <f>"Actividades combinadas de apoio aos  edifícios"</f>
        <v>Actividades combinadas de apoio aos  edifícios</v>
      </c>
    </row>
    <row r="1597" spans="1:3" ht="15">
      <c r="A1597">
        <v>5</v>
      </c>
      <c r="B1597" t="str">
        <f>"81100"</f>
        <v>81100</v>
      </c>
      <c r="C1597" t="str">
        <f>"Actividades combinadas de apoio aos  edifícios"</f>
        <v>Actividades combinadas de apoio aos  edifícios</v>
      </c>
    </row>
    <row r="1598" spans="1:3" ht="15">
      <c r="A1598">
        <v>3</v>
      </c>
      <c r="B1598" t="str">
        <f>"812"</f>
        <v>812</v>
      </c>
      <c r="C1598" t="str">
        <f>"Actividades de limpeza"</f>
        <v>Actividades de limpeza</v>
      </c>
    </row>
    <row r="1599" spans="1:3" ht="15">
      <c r="A1599">
        <v>4</v>
      </c>
      <c r="B1599" t="str">
        <f>"8121"</f>
        <v>8121</v>
      </c>
      <c r="C1599" t="str">
        <f>"Actividades de limpeza geral em edifícios"</f>
        <v>Actividades de limpeza geral em edifícios</v>
      </c>
    </row>
    <row r="1600" spans="1:3" ht="15">
      <c r="A1600">
        <v>5</v>
      </c>
      <c r="B1600" t="str">
        <f>"81210"</f>
        <v>81210</v>
      </c>
      <c r="C1600" t="str">
        <f>"Actividades de limpeza geral em edifícios"</f>
        <v>Actividades de limpeza geral em edifícios</v>
      </c>
    </row>
    <row r="1601" spans="1:3" ht="15">
      <c r="A1601">
        <v>4</v>
      </c>
      <c r="B1601" t="str">
        <f>"8122"</f>
        <v>8122</v>
      </c>
      <c r="C1601" t="str">
        <f>"Outras actividades de limpeza em edifícios e em equipamentos industriais"</f>
        <v>Outras actividades de limpeza em edifícios e em equipamentos industriais</v>
      </c>
    </row>
    <row r="1602" spans="1:3" ht="15">
      <c r="A1602">
        <v>5</v>
      </c>
      <c r="B1602" t="str">
        <f>"81220"</f>
        <v>81220</v>
      </c>
      <c r="C1602" t="str">
        <f>"Outras actividades de limpeza em edifícios e em equipamentos industriais"</f>
        <v>Outras actividades de limpeza em edifícios e em equipamentos industriais</v>
      </c>
    </row>
    <row r="1603" spans="1:3" ht="15">
      <c r="A1603">
        <v>4</v>
      </c>
      <c r="B1603" t="str">
        <f>"8129"</f>
        <v>8129</v>
      </c>
      <c r="C1603" t="str">
        <f>"Outras actividades de limpeza"</f>
        <v>Outras actividades de limpeza</v>
      </c>
    </row>
    <row r="1604" spans="1:3" ht="15">
      <c r="A1604">
        <v>5</v>
      </c>
      <c r="B1604" t="str">
        <f>"81291"</f>
        <v>81291</v>
      </c>
      <c r="C1604" t="str">
        <f>"Actividades de desinfecção, desratização e similares"</f>
        <v>Actividades de desinfecção, desratização e similares</v>
      </c>
    </row>
    <row r="1605" spans="1:3" ht="15">
      <c r="A1605">
        <v>5</v>
      </c>
      <c r="B1605" t="str">
        <f>"81292"</f>
        <v>81292</v>
      </c>
      <c r="C1605" t="str">
        <f>"Outras actividades de limpeza, n.e."</f>
        <v>Outras actividades de limpeza, n.e.</v>
      </c>
    </row>
    <row r="1606" spans="1:3" ht="15">
      <c r="A1606">
        <v>3</v>
      </c>
      <c r="B1606" t="str">
        <f>"813"</f>
        <v>813</v>
      </c>
      <c r="C1606" t="str">
        <f>"Actividades de plantação e manutenção de jardins"</f>
        <v>Actividades de plantação e manutenção de jardins</v>
      </c>
    </row>
    <row r="1607" spans="1:3" ht="15">
      <c r="A1607">
        <v>4</v>
      </c>
      <c r="B1607" t="str">
        <f>"8130"</f>
        <v>8130</v>
      </c>
      <c r="C1607" t="str">
        <f>"Actividades de plantação e manutenção de jardins"</f>
        <v>Actividades de plantação e manutenção de jardins</v>
      </c>
    </row>
    <row r="1608" spans="1:3" ht="15">
      <c r="A1608">
        <v>5</v>
      </c>
      <c r="B1608" t="str">
        <f>"81300"</f>
        <v>81300</v>
      </c>
      <c r="C1608" t="str">
        <f>"Actividades de plantação e manutenção de jardins"</f>
        <v>Actividades de plantação e manutenção de jardins</v>
      </c>
    </row>
    <row r="1609" spans="1:3" ht="15">
      <c r="A1609">
        <v>2</v>
      </c>
      <c r="B1609" t="str">
        <f>"82"</f>
        <v>82</v>
      </c>
      <c r="C1609" t="str">
        <f>"Actividades de serviços administrativos e de apoio prestados às empresas"</f>
        <v>Actividades de serviços administrativos e de apoio prestados às empresas</v>
      </c>
    </row>
    <row r="1610" spans="1:3" ht="15">
      <c r="A1610">
        <v>3</v>
      </c>
      <c r="B1610" t="str">
        <f>"821"</f>
        <v>821</v>
      </c>
      <c r="C1610" t="str">
        <f>"Actividades de serviços administrativos e  de apoio"</f>
        <v>Actividades de serviços administrativos e  de apoio</v>
      </c>
    </row>
    <row r="1611" spans="1:3" ht="15">
      <c r="A1611">
        <v>4</v>
      </c>
      <c r="B1611" t="str">
        <f>"8211"</f>
        <v>8211</v>
      </c>
      <c r="C1611" t="str">
        <f>"Actividades  combinadas de serviços administrativos"</f>
        <v>Actividades  combinadas de serviços administrativos</v>
      </c>
    </row>
    <row r="1612" spans="1:3" ht="15">
      <c r="A1612">
        <v>5</v>
      </c>
      <c r="B1612" t="str">
        <f>"82110"</f>
        <v>82110</v>
      </c>
      <c r="C1612" t="str">
        <f>"Actividades  combinadas de serviços administrativos"</f>
        <v>Actividades  combinadas de serviços administrativos</v>
      </c>
    </row>
    <row r="1613" spans="1:3" ht="15">
      <c r="A1613">
        <v>4</v>
      </c>
      <c r="B1613" t="str">
        <f>"8219"</f>
        <v>8219</v>
      </c>
      <c r="C1613" t="str">
        <f>"Execução de fotocópias, preparação de documentos e outras actividades especializadas de apoio administrativo"</f>
        <v>Execução de fotocópias, preparação de documentos e outras actividades especializadas de apoio administrativo</v>
      </c>
    </row>
    <row r="1614" spans="1:3" ht="15">
      <c r="A1614">
        <v>5</v>
      </c>
      <c r="B1614" t="str">
        <f>"82190"</f>
        <v>82190</v>
      </c>
      <c r="C1614" t="str">
        <f>"Execução de fotocópias, preparação de documentos e outras actividades especializadas de apoio administrativo"</f>
        <v>Execução de fotocópias, preparação de documentos e outras actividades especializadas de apoio administrativo</v>
      </c>
    </row>
    <row r="1615" spans="1:3" ht="15">
      <c r="A1615">
        <v>3</v>
      </c>
      <c r="B1615" t="str">
        <f>"822"</f>
        <v>822</v>
      </c>
      <c r="C1615" t="str">
        <f>"Actividades dos centros de chamadas"</f>
        <v>Actividades dos centros de chamadas</v>
      </c>
    </row>
    <row r="1616" spans="1:3" ht="15">
      <c r="A1616">
        <v>4</v>
      </c>
      <c r="B1616" t="str">
        <f>"8220"</f>
        <v>8220</v>
      </c>
      <c r="C1616" t="str">
        <f>"Actividades dos centros de chamadas"</f>
        <v>Actividades dos centros de chamadas</v>
      </c>
    </row>
    <row r="1617" spans="1:3" ht="15">
      <c r="A1617">
        <v>5</v>
      </c>
      <c r="B1617" t="str">
        <f>"82200"</f>
        <v>82200</v>
      </c>
      <c r="C1617" t="str">
        <f>"Actividades dos centros de chamadas"</f>
        <v>Actividades dos centros de chamadas</v>
      </c>
    </row>
    <row r="1618" spans="1:3" ht="15">
      <c r="A1618">
        <v>3</v>
      </c>
      <c r="B1618" t="str">
        <f>"823"</f>
        <v>823</v>
      </c>
      <c r="C1618" t="str">
        <f>"Organização de feiras, congressos e outros eventos similares"</f>
        <v>Organização de feiras, congressos e outros eventos similares</v>
      </c>
    </row>
    <row r="1619" spans="1:3" ht="15">
      <c r="A1619">
        <v>4</v>
      </c>
      <c r="B1619" t="str">
        <f>"8230"</f>
        <v>8230</v>
      </c>
      <c r="C1619" t="str">
        <f>"Organização de feiras, congressos e outros eventos similares"</f>
        <v>Organização de feiras, congressos e outros eventos similares</v>
      </c>
    </row>
    <row r="1620" spans="1:3" ht="15">
      <c r="A1620">
        <v>5</v>
      </c>
      <c r="B1620" t="str">
        <f>"82300"</f>
        <v>82300</v>
      </c>
      <c r="C1620" t="str">
        <f>"Organização de feiras, congressos e outros eventos similares"</f>
        <v>Organização de feiras, congressos e outros eventos similares</v>
      </c>
    </row>
    <row r="1621" spans="1:3" ht="15">
      <c r="A1621">
        <v>3</v>
      </c>
      <c r="B1621" t="str">
        <f>"829"</f>
        <v>829</v>
      </c>
      <c r="C1621" t="str">
        <f>"Actividades de serviços de apoio prestados às empresas, n.e."</f>
        <v>Actividades de serviços de apoio prestados às empresas, n.e.</v>
      </c>
    </row>
    <row r="1622" spans="1:3" ht="15">
      <c r="A1622">
        <v>4</v>
      </c>
      <c r="B1622" t="str">
        <f>"8291"</f>
        <v>8291</v>
      </c>
      <c r="C1622" t="str">
        <f>"Actividades de cobranças e avaliação de crédito"</f>
        <v>Actividades de cobranças e avaliação de crédito</v>
      </c>
    </row>
    <row r="1623" spans="1:3" ht="15">
      <c r="A1623">
        <v>5</v>
      </c>
      <c r="B1623" t="str">
        <f>"82910"</f>
        <v>82910</v>
      </c>
      <c r="C1623" t="str">
        <f>"Actividades de cobranças e avaliação de crédito"</f>
        <v>Actividades de cobranças e avaliação de crédito</v>
      </c>
    </row>
    <row r="1624" spans="1:3" ht="15">
      <c r="A1624">
        <v>4</v>
      </c>
      <c r="B1624" t="str">
        <f>"8292"</f>
        <v>8292</v>
      </c>
      <c r="C1624" t="str">
        <f>"Actividades de embalagem"</f>
        <v>Actividades de embalagem</v>
      </c>
    </row>
    <row r="1625" spans="1:3" ht="15">
      <c r="A1625">
        <v>5</v>
      </c>
      <c r="B1625" t="str">
        <f>"82921"</f>
        <v>82921</v>
      </c>
      <c r="C1625" t="str">
        <f>"Engarrafamento de gases"</f>
        <v>Engarrafamento de gases</v>
      </c>
    </row>
    <row r="1626" spans="1:3" ht="15">
      <c r="A1626">
        <v>5</v>
      </c>
      <c r="B1626" t="str">
        <f>"82922"</f>
        <v>82922</v>
      </c>
      <c r="C1626" t="str">
        <f>"Outras actividades de embalagem"</f>
        <v>Outras actividades de embalagem</v>
      </c>
    </row>
    <row r="1627" spans="1:3" ht="15">
      <c r="A1627">
        <v>4</v>
      </c>
      <c r="B1627" t="str">
        <f>"8299"</f>
        <v>8299</v>
      </c>
      <c r="C1627" t="str">
        <f>"Outras actividades de serviços de apoio prestados às empresas, n.e."</f>
        <v>Outras actividades de serviços de apoio prestados às empresas, n.e.</v>
      </c>
    </row>
    <row r="1628" spans="1:3" ht="15">
      <c r="A1628">
        <v>5</v>
      </c>
      <c r="B1628" t="str">
        <f>"82990"</f>
        <v>82990</v>
      </c>
      <c r="C1628" t="str">
        <f>"Outras actividades de serviços de apoio prestados às empresas, n.e."</f>
        <v>Outras actividades de serviços de apoio prestados às empresas, n.e.</v>
      </c>
    </row>
    <row r="1629" spans="1:3" ht="15">
      <c r="A1629">
        <v>1</v>
      </c>
      <c r="B1629" t="str">
        <f>"O"</f>
        <v>O</v>
      </c>
      <c r="C1629" t="str">
        <f>"Administração Pública e Defesa; Segurança Social Obrigatória"</f>
        <v>Administração Pública e Defesa; Segurança Social Obrigatória</v>
      </c>
    </row>
    <row r="1630" spans="1:3" ht="15">
      <c r="A1630">
        <v>2</v>
      </c>
      <c r="B1630" t="str">
        <f>"84"</f>
        <v>84</v>
      </c>
      <c r="C1630" t="str">
        <f>"Administração Pública e Defesa;  Segurança Social Obrigatória"</f>
        <v>Administração Pública e Defesa;  Segurança Social Obrigatória</v>
      </c>
    </row>
    <row r="1631" spans="1:3" ht="15">
      <c r="A1631">
        <v>3</v>
      </c>
      <c r="B1631" t="str">
        <f>"841"</f>
        <v>841</v>
      </c>
      <c r="C1631" t="str">
        <f>"Administração pública em geral, económica e social"</f>
        <v>Administração pública em geral, económica e social</v>
      </c>
    </row>
    <row r="1632" spans="1:3" ht="15">
      <c r="A1632">
        <v>4</v>
      </c>
      <c r="B1632" t="str">
        <f>"8411"</f>
        <v>8411</v>
      </c>
      <c r="C1632" t="str">
        <f>"Administração pública em geral"</f>
        <v>Administração pública em geral</v>
      </c>
    </row>
    <row r="1633" spans="1:3" ht="15">
      <c r="A1633">
        <v>5</v>
      </c>
      <c r="B1633" t="str">
        <f>"84111"</f>
        <v>84111</v>
      </c>
      <c r="C1633" t="str">
        <f>"Administração Central"</f>
        <v>Administração Central</v>
      </c>
    </row>
    <row r="1634" spans="1:3" ht="15">
      <c r="A1634">
        <v>5</v>
      </c>
      <c r="B1634" t="str">
        <f>"84112"</f>
        <v>84112</v>
      </c>
      <c r="C1634" t="str">
        <f>"Administração Regional Autónoma"</f>
        <v>Administração Regional Autónoma</v>
      </c>
    </row>
    <row r="1635" spans="1:3" ht="15">
      <c r="A1635">
        <v>5</v>
      </c>
      <c r="B1635" t="str">
        <f>"84113"</f>
        <v>84113</v>
      </c>
      <c r="C1635" t="str">
        <f>"Administração Local"</f>
        <v>Administração Local</v>
      </c>
    </row>
    <row r="1636" spans="1:3" ht="15">
      <c r="A1636">
        <v>5</v>
      </c>
      <c r="B1636" t="str">
        <f>"84114"</f>
        <v>84114</v>
      </c>
      <c r="C1636" t="str">
        <f>"Actividades de apoio à administração pública"</f>
        <v>Actividades de apoio à administração pública</v>
      </c>
    </row>
    <row r="1637" spans="1:3" ht="15">
      <c r="A1637">
        <v>4</v>
      </c>
      <c r="B1637" t="str">
        <f>"8412"</f>
        <v>8412</v>
      </c>
      <c r="C1637" t="str">
        <f>"Administração pública - actividades de saúde, educação, culturais e sociais, excepto segurança social obrigatória"</f>
        <v>Administração pública - actividades de saúde, educação, culturais e sociais, excepto segurança social obrigatória</v>
      </c>
    </row>
    <row r="1638" spans="1:3" ht="15">
      <c r="A1638">
        <v>5</v>
      </c>
      <c r="B1638" t="str">
        <f>"84121"</f>
        <v>84121</v>
      </c>
      <c r="C1638" t="str">
        <f>"Administração Pública - actividades de saúde"</f>
        <v>Administração Pública - actividades de saúde</v>
      </c>
    </row>
    <row r="1639" spans="1:3" ht="15">
      <c r="A1639">
        <v>5</v>
      </c>
      <c r="B1639" t="str">
        <f>"84122"</f>
        <v>84122</v>
      </c>
      <c r="C1639" t="str">
        <f>"Administração Pública - actividades de educação"</f>
        <v>Administração Pública - actividades de educação</v>
      </c>
    </row>
    <row r="1640" spans="1:3" ht="15">
      <c r="A1640">
        <v>5</v>
      </c>
      <c r="B1640" t="str">
        <f>"84123"</f>
        <v>84123</v>
      </c>
      <c r="C1640" t="str">
        <f>"Administração Pública - actividades da cultura, desporto, recreativas, ambiente, habitação e de outras actividades sociais, excepto segurança social obrigatória"</f>
        <v>Administração Pública - actividades da cultura, desporto, recreativas, ambiente, habitação e de outras actividades sociais, excepto segurança social obrigatória</v>
      </c>
    </row>
    <row r="1641" spans="1:3" ht="15">
      <c r="A1641">
        <v>4</v>
      </c>
      <c r="B1641" t="str">
        <f>"8413"</f>
        <v>8413</v>
      </c>
      <c r="C1641" t="str">
        <f>"Administração pública - actividades económicas"</f>
        <v>Administração pública - actividades económicas</v>
      </c>
    </row>
    <row r="1642" spans="1:3" ht="15">
      <c r="A1642">
        <v>5</v>
      </c>
      <c r="B1642" t="str">
        <f>"84130"</f>
        <v>84130</v>
      </c>
      <c r="C1642" t="str">
        <f>"Administração pública - actividades económicas"</f>
        <v>Administração pública - actividades económicas</v>
      </c>
    </row>
    <row r="1643" spans="1:3" ht="15">
      <c r="A1643">
        <v>3</v>
      </c>
      <c r="B1643" t="str">
        <f>"842"</f>
        <v>842</v>
      </c>
      <c r="C1643" t="str">
        <f>"Negócios estrangeiros, defesa, justiça, segurança, ordem pública e protecção civil"</f>
        <v>Negócios estrangeiros, defesa, justiça, segurança, ordem pública e protecção civil</v>
      </c>
    </row>
    <row r="1644" spans="1:3" ht="15">
      <c r="A1644">
        <v>4</v>
      </c>
      <c r="B1644" t="str">
        <f>"8421"</f>
        <v>8421</v>
      </c>
      <c r="C1644" t="str">
        <f>"Negócios estrangeiros"</f>
        <v>Negócios estrangeiros</v>
      </c>
    </row>
    <row r="1645" spans="1:3" ht="15">
      <c r="A1645">
        <v>5</v>
      </c>
      <c r="B1645" t="str">
        <f>"84210"</f>
        <v>84210</v>
      </c>
      <c r="C1645" t="str">
        <f>"Negócios estrangeiros"</f>
        <v>Negócios estrangeiros</v>
      </c>
    </row>
    <row r="1646" spans="1:3" ht="15">
      <c r="A1646">
        <v>4</v>
      </c>
      <c r="B1646" t="str">
        <f>"8422"</f>
        <v>8422</v>
      </c>
      <c r="C1646" t="str">
        <f>"Actividades de defesa"</f>
        <v>Actividades de defesa</v>
      </c>
    </row>
    <row r="1647" spans="1:3" ht="15">
      <c r="A1647">
        <v>5</v>
      </c>
      <c r="B1647" t="str">
        <f>"84220"</f>
        <v>84220</v>
      </c>
      <c r="C1647" t="str">
        <f>"Actividades de defesa"</f>
        <v>Actividades de defesa</v>
      </c>
    </row>
    <row r="1648" spans="1:3" ht="15">
      <c r="A1648">
        <v>4</v>
      </c>
      <c r="B1648" t="str">
        <f>"8423"</f>
        <v>8423</v>
      </c>
      <c r="C1648" t="str">
        <f>"Actividades de justiça"</f>
        <v>Actividades de justiça</v>
      </c>
    </row>
    <row r="1649" spans="1:3" ht="15">
      <c r="A1649">
        <v>5</v>
      </c>
      <c r="B1649" t="str">
        <f>"84230"</f>
        <v>84230</v>
      </c>
      <c r="C1649" t="str">
        <f>"Actividades de justiça"</f>
        <v>Actividades de justiça</v>
      </c>
    </row>
    <row r="1650" spans="1:3" ht="15">
      <c r="A1650">
        <v>4</v>
      </c>
      <c r="B1650" t="str">
        <f>"8424"</f>
        <v>8424</v>
      </c>
      <c r="C1650" t="str">
        <f>"Actividades de segurança e ordem pública"</f>
        <v>Actividades de segurança e ordem pública</v>
      </c>
    </row>
    <row r="1651" spans="1:3" ht="15">
      <c r="A1651">
        <v>5</v>
      </c>
      <c r="B1651" t="str">
        <f>"84240"</f>
        <v>84240</v>
      </c>
      <c r="C1651" t="str">
        <f>"Actividades de segurança e ordem pública"</f>
        <v>Actividades de segurança e ordem pública</v>
      </c>
    </row>
    <row r="1652" spans="1:3" ht="15">
      <c r="A1652">
        <v>4</v>
      </c>
      <c r="B1652" t="str">
        <f>"8425"</f>
        <v>8425</v>
      </c>
      <c r="C1652" t="str">
        <f>"Actividades de protecção civil"</f>
        <v>Actividades de protecção civil</v>
      </c>
    </row>
    <row r="1653" spans="1:3" ht="15">
      <c r="A1653">
        <v>5</v>
      </c>
      <c r="B1653" t="str">
        <f>"84250"</f>
        <v>84250</v>
      </c>
      <c r="C1653" t="str">
        <f>"Actividades de protecção civil"</f>
        <v>Actividades de protecção civil</v>
      </c>
    </row>
    <row r="1654" spans="1:3" ht="15">
      <c r="A1654">
        <v>3</v>
      </c>
      <c r="B1654" t="str">
        <f>"843"</f>
        <v>843</v>
      </c>
      <c r="C1654" t="str">
        <f>"Actividades de segurança social obrigatória"</f>
        <v>Actividades de segurança social obrigatória</v>
      </c>
    </row>
    <row r="1655" spans="1:3" ht="15">
      <c r="A1655">
        <v>4</v>
      </c>
      <c r="B1655" t="str">
        <f>"8430"</f>
        <v>8430</v>
      </c>
      <c r="C1655" t="str">
        <f>"Actividades de segurança social obrigatória"</f>
        <v>Actividades de segurança social obrigatória</v>
      </c>
    </row>
    <row r="1656" spans="1:3" ht="15">
      <c r="A1656">
        <v>5</v>
      </c>
      <c r="B1656" t="str">
        <f>"84300"</f>
        <v>84300</v>
      </c>
      <c r="C1656" t="str">
        <f>"Actividades de segurança social obrigatória"</f>
        <v>Actividades de segurança social obrigatória</v>
      </c>
    </row>
    <row r="1657" spans="1:3" ht="15">
      <c r="A1657">
        <v>1</v>
      </c>
      <c r="B1657" t="str">
        <f>"P"</f>
        <v>P</v>
      </c>
      <c r="C1657" t="str">
        <f>"Educação"</f>
        <v>Educação</v>
      </c>
    </row>
    <row r="1658" spans="1:3" ht="15">
      <c r="A1658">
        <v>2</v>
      </c>
      <c r="B1658" t="str">
        <f>"85"</f>
        <v>85</v>
      </c>
      <c r="C1658" t="str">
        <f>"Educação"</f>
        <v>Educação</v>
      </c>
    </row>
    <row r="1659" spans="1:3" ht="15">
      <c r="A1659">
        <v>3</v>
      </c>
      <c r="B1659" t="str">
        <f>"851"</f>
        <v>851</v>
      </c>
      <c r="C1659" t="str">
        <f>"Educação pré-escolar"</f>
        <v>Educação pré-escolar</v>
      </c>
    </row>
    <row r="1660" spans="1:3" ht="15">
      <c r="A1660">
        <v>4</v>
      </c>
      <c r="B1660" t="str">
        <f>"8510"</f>
        <v>8510</v>
      </c>
      <c r="C1660" t="str">
        <f>"Educação pré-escolar"</f>
        <v>Educação pré-escolar</v>
      </c>
    </row>
    <row r="1661" spans="1:3" ht="15">
      <c r="A1661">
        <v>5</v>
      </c>
      <c r="B1661" t="str">
        <f>"85100"</f>
        <v>85100</v>
      </c>
      <c r="C1661" t="str">
        <f>"Educação pré-escolar"</f>
        <v>Educação pré-escolar</v>
      </c>
    </row>
    <row r="1662" spans="1:3" ht="15">
      <c r="A1662">
        <v>3</v>
      </c>
      <c r="B1662" t="str">
        <f>"852"</f>
        <v>852</v>
      </c>
      <c r="C1662" t="str">
        <f>"Ensino básico (1º e 2º Ciclos)"</f>
        <v>Ensino básico (1º e 2º Ciclos)</v>
      </c>
    </row>
    <row r="1663" spans="1:3" ht="15">
      <c r="A1663">
        <v>4</v>
      </c>
      <c r="B1663" t="str">
        <f>"8520"</f>
        <v>8520</v>
      </c>
      <c r="C1663" t="str">
        <f>"Ensino básico (1º e 2º Ciclos)"</f>
        <v>Ensino básico (1º e 2º Ciclos)</v>
      </c>
    </row>
    <row r="1664" spans="1:3" ht="15">
      <c r="A1664">
        <v>5</v>
      </c>
      <c r="B1664" t="str">
        <f>"85201"</f>
        <v>85201</v>
      </c>
      <c r="C1664" t="str">
        <f>"Ensino básico (1º  Ciclo)"</f>
        <v>Ensino básico (1º  Ciclo)</v>
      </c>
    </row>
    <row r="1665" spans="1:3" ht="15">
      <c r="A1665">
        <v>5</v>
      </c>
      <c r="B1665" t="str">
        <f>"85202"</f>
        <v>85202</v>
      </c>
      <c r="C1665" t="str">
        <f>"Ensino básico (2º Ciclo)"</f>
        <v>Ensino básico (2º Ciclo)</v>
      </c>
    </row>
    <row r="1666" spans="1:3" ht="15">
      <c r="A1666">
        <v>3</v>
      </c>
      <c r="B1666" t="str">
        <f>"853"</f>
        <v>853</v>
      </c>
      <c r="C1666" t="str">
        <f>"Ensinos básico (3º Ciclo) e secundário"</f>
        <v>Ensinos básico (3º Ciclo) e secundário</v>
      </c>
    </row>
    <row r="1667" spans="1:3" ht="15">
      <c r="A1667">
        <v>4</v>
      </c>
      <c r="B1667" t="str">
        <f>"8531"</f>
        <v>8531</v>
      </c>
      <c r="C1667" t="str">
        <f>"Ensinos básico (3º Ciclo) e secundário geral"</f>
        <v>Ensinos básico (3º Ciclo) e secundário geral</v>
      </c>
    </row>
    <row r="1668" spans="1:3" ht="15">
      <c r="A1668">
        <v>5</v>
      </c>
      <c r="B1668" t="str">
        <f>"85310"</f>
        <v>85310</v>
      </c>
      <c r="C1668" t="str">
        <f>"Ensinos básico (3º Ciclo) e secundário geral"</f>
        <v>Ensinos básico (3º Ciclo) e secundário geral</v>
      </c>
    </row>
    <row r="1669" spans="1:3" ht="15">
      <c r="A1669">
        <v>4</v>
      </c>
      <c r="B1669" t="str">
        <f>"8532"</f>
        <v>8532</v>
      </c>
      <c r="C1669" t="str">
        <f>"Ensinos secundário tecnológico, artístico  e profissional"</f>
        <v>Ensinos secundário tecnológico, artístico  e profissional</v>
      </c>
    </row>
    <row r="1670" spans="1:3" ht="15">
      <c r="A1670">
        <v>5</v>
      </c>
      <c r="B1670" t="str">
        <f>"85320"</f>
        <v>85320</v>
      </c>
      <c r="C1670" t="str">
        <f>"Ensinos secundário tecnológico, artístico  e profissional"</f>
        <v>Ensinos secundário tecnológico, artístico  e profissional</v>
      </c>
    </row>
    <row r="1671" spans="1:3" ht="15">
      <c r="A1671">
        <v>3</v>
      </c>
      <c r="B1671" t="str">
        <f>"854"</f>
        <v>854</v>
      </c>
      <c r="C1671" t="str">
        <f>"Ensinos pós-secundário não superior e superior"</f>
        <v>Ensinos pós-secundário não superior e superior</v>
      </c>
    </row>
    <row r="1672" spans="1:3" ht="15">
      <c r="A1672">
        <v>4</v>
      </c>
      <c r="B1672" t="str">
        <f>"8541"</f>
        <v>8541</v>
      </c>
      <c r="C1672" t="str">
        <f>"Ensino pós-secundário não superior"</f>
        <v>Ensino pós-secundário não superior</v>
      </c>
    </row>
    <row r="1673" spans="1:3" ht="15">
      <c r="A1673">
        <v>5</v>
      </c>
      <c r="B1673" t="str">
        <f>"85410"</f>
        <v>85410</v>
      </c>
      <c r="C1673" t="str">
        <f>"Ensino pós-secundário não superior"</f>
        <v>Ensino pós-secundário não superior</v>
      </c>
    </row>
    <row r="1674" spans="1:3" ht="15">
      <c r="A1674">
        <v>4</v>
      </c>
      <c r="B1674" t="str">
        <f>"8542"</f>
        <v>8542</v>
      </c>
      <c r="C1674" t="str">
        <f>"Ensino superior"</f>
        <v>Ensino superior</v>
      </c>
    </row>
    <row r="1675" spans="1:3" ht="15">
      <c r="A1675">
        <v>5</v>
      </c>
      <c r="B1675" t="str">
        <f>"85420"</f>
        <v>85420</v>
      </c>
      <c r="C1675" t="str">
        <f>"Ensino superior"</f>
        <v>Ensino superior</v>
      </c>
    </row>
    <row r="1676" spans="1:3" ht="15">
      <c r="A1676">
        <v>3</v>
      </c>
      <c r="B1676" t="str">
        <f>"855"</f>
        <v>855</v>
      </c>
      <c r="C1676" t="str">
        <f>"Outras actividades educativas"</f>
        <v>Outras actividades educativas</v>
      </c>
    </row>
    <row r="1677" spans="1:3" ht="15">
      <c r="A1677">
        <v>4</v>
      </c>
      <c r="B1677" t="str">
        <f>"8551"</f>
        <v>8551</v>
      </c>
      <c r="C1677" t="str">
        <f>"Ensinos desportivo e recreativo"</f>
        <v>Ensinos desportivo e recreativo</v>
      </c>
    </row>
    <row r="1678" spans="1:3" ht="15">
      <c r="A1678">
        <v>5</v>
      </c>
      <c r="B1678" t="str">
        <f>"85510"</f>
        <v>85510</v>
      </c>
      <c r="C1678" t="str">
        <f>"Ensinos desportivo e recreativo"</f>
        <v>Ensinos desportivo e recreativo</v>
      </c>
    </row>
    <row r="1679" spans="1:3" ht="15">
      <c r="A1679">
        <v>4</v>
      </c>
      <c r="B1679" t="str">
        <f>"8552"</f>
        <v>8552</v>
      </c>
      <c r="C1679" t="str">
        <f>"Ensino de actividades culturais"</f>
        <v>Ensino de actividades culturais</v>
      </c>
    </row>
    <row r="1680" spans="1:3" ht="15">
      <c r="A1680">
        <v>5</v>
      </c>
      <c r="B1680" t="str">
        <f>"85520"</f>
        <v>85520</v>
      </c>
      <c r="C1680" t="str">
        <f>"Ensino de actividades culturais"</f>
        <v>Ensino de actividades culturais</v>
      </c>
    </row>
    <row r="1681" spans="1:3" ht="15">
      <c r="A1681">
        <v>4</v>
      </c>
      <c r="B1681" t="str">
        <f>"8553"</f>
        <v>8553</v>
      </c>
      <c r="C1681" t="str">
        <f>"Escolas de condução e pilotagem"</f>
        <v>Escolas de condução e pilotagem</v>
      </c>
    </row>
    <row r="1682" spans="1:3" ht="15">
      <c r="A1682">
        <v>5</v>
      </c>
      <c r="B1682" t="str">
        <f>"85530"</f>
        <v>85530</v>
      </c>
      <c r="C1682" t="str">
        <f>"Escolas de condução e pilotagem"</f>
        <v>Escolas de condução e pilotagem</v>
      </c>
    </row>
    <row r="1683" spans="1:3" ht="15">
      <c r="A1683">
        <v>4</v>
      </c>
      <c r="B1683" t="str">
        <f>"8559"</f>
        <v>8559</v>
      </c>
      <c r="C1683" t="str">
        <f>"Formação profissional, escolas de línguas e outras actividades educativas"</f>
        <v>Formação profissional, escolas de línguas e outras actividades educativas</v>
      </c>
    </row>
    <row r="1684" spans="1:3" ht="15">
      <c r="A1684">
        <v>5</v>
      </c>
      <c r="B1684" t="str">
        <f>"85591"</f>
        <v>85591</v>
      </c>
      <c r="C1684" t="str">
        <f>"Formação profissional"</f>
        <v>Formação profissional</v>
      </c>
    </row>
    <row r="1685" spans="1:3" ht="15">
      <c r="A1685">
        <v>5</v>
      </c>
      <c r="B1685" t="str">
        <f>"85592"</f>
        <v>85592</v>
      </c>
      <c r="C1685" t="str">
        <f>"Escolas de línguas"</f>
        <v>Escolas de línguas</v>
      </c>
    </row>
    <row r="1686" spans="1:3" ht="15">
      <c r="A1686">
        <v>5</v>
      </c>
      <c r="B1686" t="str">
        <f>"85593"</f>
        <v>85593</v>
      </c>
      <c r="C1686" t="str">
        <f>"Outras actividades educativas, n.e."</f>
        <v>Outras actividades educativas, n.e.</v>
      </c>
    </row>
    <row r="1687" spans="1:3" ht="15">
      <c r="A1687">
        <v>3</v>
      </c>
      <c r="B1687" t="str">
        <f>"856"</f>
        <v>856</v>
      </c>
      <c r="C1687" t="str">
        <f>"Actividades de serviços de apoio à educação"</f>
        <v>Actividades de serviços de apoio à educação</v>
      </c>
    </row>
    <row r="1688" spans="1:3" ht="15">
      <c r="A1688">
        <v>4</v>
      </c>
      <c r="B1688" t="str">
        <f>"8560"</f>
        <v>8560</v>
      </c>
      <c r="C1688" t="str">
        <f>"Actividades de serviços de apoio à educação"</f>
        <v>Actividades de serviços de apoio à educação</v>
      </c>
    </row>
    <row r="1689" spans="1:3" ht="15">
      <c r="A1689">
        <v>5</v>
      </c>
      <c r="B1689" t="str">
        <f>"85600"</f>
        <v>85600</v>
      </c>
      <c r="C1689" t="str">
        <f>"Actividades de serviços de apoio à educação"</f>
        <v>Actividades de serviços de apoio à educação</v>
      </c>
    </row>
    <row r="1690" spans="1:3" ht="15">
      <c r="A1690">
        <v>1</v>
      </c>
      <c r="B1690" t="str">
        <f>"Q"</f>
        <v>Q</v>
      </c>
      <c r="C1690" t="str">
        <f>"Actividades de saúde humana e apoio  social"</f>
        <v>Actividades de saúde humana e apoio  social</v>
      </c>
    </row>
    <row r="1691" spans="1:3" ht="15">
      <c r="A1691">
        <v>2</v>
      </c>
      <c r="B1691" t="str">
        <f>"86"</f>
        <v>86</v>
      </c>
      <c r="C1691" t="str">
        <f>"Actividades de saúde humana"</f>
        <v>Actividades de saúde humana</v>
      </c>
    </row>
    <row r="1692" spans="1:3" ht="15">
      <c r="A1692">
        <v>3</v>
      </c>
      <c r="B1692" t="str">
        <f>"861"</f>
        <v>861</v>
      </c>
      <c r="C1692" t="str">
        <f>"Actividades dos estabelecimentos de saúde com internamento"</f>
        <v>Actividades dos estabelecimentos de saúde com internamento</v>
      </c>
    </row>
    <row r="1693" spans="1:3" ht="15">
      <c r="A1693">
        <v>4</v>
      </c>
      <c r="B1693" t="str">
        <f>"8610"</f>
        <v>8610</v>
      </c>
      <c r="C1693" t="str">
        <f>"Actividades dos estabelecimentos de saúde com internamento"</f>
        <v>Actividades dos estabelecimentos de saúde com internamento</v>
      </c>
    </row>
    <row r="1694" spans="1:3" ht="15">
      <c r="A1694">
        <v>5</v>
      </c>
      <c r="B1694" t="str">
        <f>"86100"</f>
        <v>86100</v>
      </c>
      <c r="C1694" t="str">
        <f>"Actividades dos estabelecimentos de saúde com internamento"</f>
        <v>Actividades dos estabelecimentos de saúde com internamento</v>
      </c>
    </row>
    <row r="1695" spans="1:3" ht="15">
      <c r="A1695">
        <v>3</v>
      </c>
      <c r="B1695" t="str">
        <f>"862"</f>
        <v>862</v>
      </c>
      <c r="C1695" t="str">
        <f>"Actividades de prática clínica em ambulatório, de medicina dentária e de odontologia"</f>
        <v>Actividades de prática clínica em ambulatório, de medicina dentária e de odontologia</v>
      </c>
    </row>
    <row r="1696" spans="1:3" ht="15">
      <c r="A1696">
        <v>4</v>
      </c>
      <c r="B1696" t="str">
        <f>"8621"</f>
        <v>8621</v>
      </c>
      <c r="C1696" t="str">
        <f>"Actividades de prática médica de clínica geral, em ambulatório"</f>
        <v>Actividades de prática médica de clínica geral, em ambulatório</v>
      </c>
    </row>
    <row r="1697" spans="1:3" ht="15">
      <c r="A1697">
        <v>5</v>
      </c>
      <c r="B1697" t="str">
        <f>"86210"</f>
        <v>86210</v>
      </c>
      <c r="C1697" t="str">
        <f>"Actividades de prática médica de clínica geral, em ambulatório"</f>
        <v>Actividades de prática médica de clínica geral, em ambulatório</v>
      </c>
    </row>
    <row r="1698" spans="1:3" ht="15">
      <c r="A1698">
        <v>4</v>
      </c>
      <c r="B1698" t="str">
        <f>"8622"</f>
        <v>8622</v>
      </c>
      <c r="C1698" t="str">
        <f>"Actividades de prática médica de clínica especializada, em ambulatório"</f>
        <v>Actividades de prática médica de clínica especializada, em ambulatório</v>
      </c>
    </row>
    <row r="1699" spans="1:3" ht="15">
      <c r="A1699">
        <v>5</v>
      </c>
      <c r="B1699" t="str">
        <f>"86220"</f>
        <v>86220</v>
      </c>
      <c r="C1699" t="str">
        <f>"Actividades de prática médica de clínica especializada, em ambulatório"</f>
        <v>Actividades de prática médica de clínica especializada, em ambulatório</v>
      </c>
    </row>
    <row r="1700" spans="1:3" ht="15">
      <c r="A1700">
        <v>4</v>
      </c>
      <c r="B1700" t="str">
        <f>"8623"</f>
        <v>8623</v>
      </c>
      <c r="C1700" t="str">
        <f>"Actividades  de medicina dentária e odontologia"</f>
        <v>Actividades  de medicina dentária e odontologia</v>
      </c>
    </row>
    <row r="1701" spans="1:3" ht="15">
      <c r="A1701">
        <v>5</v>
      </c>
      <c r="B1701" t="str">
        <f>"86230"</f>
        <v>86230</v>
      </c>
      <c r="C1701" t="str">
        <f>"Actividades  de medicina dentária e odontologia"</f>
        <v>Actividades  de medicina dentária e odontologia</v>
      </c>
    </row>
    <row r="1702" spans="1:3" ht="15">
      <c r="A1702">
        <v>3</v>
      </c>
      <c r="B1702" t="str">
        <f>"869"</f>
        <v>869</v>
      </c>
      <c r="C1702" t="str">
        <f>"Outras actividades de saúde humana"</f>
        <v>Outras actividades de saúde humana</v>
      </c>
    </row>
    <row r="1703" spans="1:3" ht="15">
      <c r="A1703">
        <v>4</v>
      </c>
      <c r="B1703" t="str">
        <f>"8690"</f>
        <v>8690</v>
      </c>
      <c r="C1703" t="str">
        <f>"Outras actividades de saúde humana"</f>
        <v>Outras actividades de saúde humana</v>
      </c>
    </row>
    <row r="1704" spans="1:3" ht="15">
      <c r="A1704">
        <v>5</v>
      </c>
      <c r="B1704" t="str">
        <f>"86901"</f>
        <v>86901</v>
      </c>
      <c r="C1704" t="str">
        <f>"Laboratórios de análises clínicas"</f>
        <v>Laboratórios de análises clínicas</v>
      </c>
    </row>
    <row r="1705" spans="1:3" ht="15">
      <c r="A1705">
        <v>5</v>
      </c>
      <c r="B1705" t="str">
        <f>"86902"</f>
        <v>86902</v>
      </c>
      <c r="C1705" t="str">
        <f>"Actividades de ambulâncias"</f>
        <v>Actividades de ambulâncias</v>
      </c>
    </row>
    <row r="1706" spans="1:3" ht="15">
      <c r="A1706">
        <v>5</v>
      </c>
      <c r="B1706" t="str">
        <f>"86903"</f>
        <v>86903</v>
      </c>
      <c r="C1706" t="str">
        <f>"Actividades de enfermagem "</f>
        <v>Actividades de enfermagem </v>
      </c>
    </row>
    <row r="1707" spans="1:3" ht="15">
      <c r="A1707">
        <v>5</v>
      </c>
      <c r="B1707" t="str">
        <f>"86904"</f>
        <v>86904</v>
      </c>
      <c r="C1707" t="str">
        <f>"Centros de recolha e bancos de órgãos "</f>
        <v>Centros de recolha e bancos de órgãos </v>
      </c>
    </row>
    <row r="1708" spans="1:3" ht="15">
      <c r="A1708">
        <v>5</v>
      </c>
      <c r="B1708" t="str">
        <f>"86905"</f>
        <v>86905</v>
      </c>
      <c r="C1708" t="str">
        <f>"Actividades termais"</f>
        <v>Actividades termais</v>
      </c>
    </row>
    <row r="1709" spans="1:3" ht="15">
      <c r="A1709">
        <v>5</v>
      </c>
      <c r="B1709" t="str">
        <f>"86906"</f>
        <v>86906</v>
      </c>
      <c r="C1709" t="str">
        <f>"Outras actividades de saúde humana, n.e."</f>
        <v>Outras actividades de saúde humana, n.e.</v>
      </c>
    </row>
    <row r="1710" spans="1:3" ht="15">
      <c r="A1710">
        <v>2</v>
      </c>
      <c r="B1710" t="str">
        <f>"87"</f>
        <v>87</v>
      </c>
      <c r="C1710" t="str">
        <f>"Actividades de apoio social com alojamento"</f>
        <v>Actividades de apoio social com alojamento</v>
      </c>
    </row>
    <row r="1711" spans="1:3" ht="15">
      <c r="A1711">
        <v>3</v>
      </c>
      <c r="B1711" t="str">
        <f>"871"</f>
        <v>871</v>
      </c>
      <c r="C1711" t="str">
        <f>"Actividades dos estabelecimentos de cuidados continuados integrados,  com alojamento"</f>
        <v>Actividades dos estabelecimentos de cuidados continuados integrados,  com alojamento</v>
      </c>
    </row>
    <row r="1712" spans="1:3" ht="15">
      <c r="A1712">
        <v>4</v>
      </c>
      <c r="B1712" t="str">
        <f>"8710"</f>
        <v>8710</v>
      </c>
      <c r="C1712" t="str">
        <f>"Actividades dos estabelecimentos de cuidados continuados integrados,  com alojamento"</f>
        <v>Actividades dos estabelecimentos de cuidados continuados integrados,  com alojamento</v>
      </c>
    </row>
    <row r="1713" spans="1:3" ht="15">
      <c r="A1713">
        <v>5</v>
      </c>
      <c r="B1713" t="str">
        <f>"87100"</f>
        <v>87100</v>
      </c>
      <c r="C1713" t="str">
        <f>"Actividades dos estabelecimentos de cuidados continuados integrados,  com alojamento"</f>
        <v>Actividades dos estabelecimentos de cuidados continuados integrados,  com alojamento</v>
      </c>
    </row>
    <row r="1714" spans="1:3" ht="15">
      <c r="A1714">
        <v>3</v>
      </c>
      <c r="B1714" t="str">
        <f>"872"</f>
        <v>872</v>
      </c>
      <c r="C1714" t="str">
        <f>"Actividades dos estabelecimentos para pessoas com  doença do foro mental e do abuso de drogas, com alojamento"</f>
        <v>Actividades dos estabelecimentos para pessoas com  doença do foro mental e do abuso de drogas, com alojamento</v>
      </c>
    </row>
    <row r="1715" spans="1:3" ht="15">
      <c r="A1715">
        <v>4</v>
      </c>
      <c r="B1715" t="str">
        <f>"8720"</f>
        <v>8720</v>
      </c>
      <c r="C1715" t="str">
        <f>"Actividades dos estabelecimentos para pessoas com  doença do foro mental e do abuso de drogas, com alojamento"</f>
        <v>Actividades dos estabelecimentos para pessoas com  doença do foro mental e do abuso de drogas, com alojamento</v>
      </c>
    </row>
    <row r="1716" spans="1:3" ht="15">
      <c r="A1716">
        <v>5</v>
      </c>
      <c r="B1716" t="str">
        <f>"87200"</f>
        <v>87200</v>
      </c>
      <c r="C1716" t="str">
        <f>"Actividades dos estabelecimentos para pessoas com  doença do foro mental e do abuso de drogas, com alojamento"</f>
        <v>Actividades dos estabelecimentos para pessoas com  doença do foro mental e do abuso de drogas, com alojamento</v>
      </c>
    </row>
    <row r="1717" spans="1:3" ht="15">
      <c r="A1717">
        <v>3</v>
      </c>
      <c r="B1717" t="str">
        <f>"873"</f>
        <v>873</v>
      </c>
      <c r="C1717" t="str">
        <f>"Actividades de apoio social para pessoas idosas e com deficiência,  com alojamento"</f>
        <v>Actividades de apoio social para pessoas idosas e com deficiência,  com alojamento</v>
      </c>
    </row>
    <row r="1718" spans="1:3" ht="15">
      <c r="A1718">
        <v>4</v>
      </c>
      <c r="B1718" t="str">
        <f>"8730"</f>
        <v>8730</v>
      </c>
      <c r="C1718" t="str">
        <f>"Actividades de apoio social para pessoas idosas e com deficiência,  com alojamento"</f>
        <v>Actividades de apoio social para pessoas idosas e com deficiência,  com alojamento</v>
      </c>
    </row>
    <row r="1719" spans="1:3" ht="15">
      <c r="A1719">
        <v>5</v>
      </c>
      <c r="B1719" t="str">
        <f>"87301"</f>
        <v>87301</v>
      </c>
      <c r="C1719" t="str">
        <f>"Actividades de apoio social para pessoas idosas, com alojamento"</f>
        <v>Actividades de apoio social para pessoas idosas, com alojamento</v>
      </c>
    </row>
    <row r="1720" spans="1:3" ht="15">
      <c r="A1720">
        <v>5</v>
      </c>
      <c r="B1720" t="str">
        <f>"87302"</f>
        <v>87302</v>
      </c>
      <c r="C1720" t="str">
        <f>"Actividades de apoio social para pessoas com deficiência, com alojamento"</f>
        <v>Actividades de apoio social para pessoas com deficiência, com alojamento</v>
      </c>
    </row>
    <row r="1721" spans="1:3" ht="15">
      <c r="A1721">
        <v>3</v>
      </c>
      <c r="B1721" t="str">
        <f>"879"</f>
        <v>879</v>
      </c>
      <c r="C1721" t="str">
        <f>"Outras actividades de apoio  social com alojamento"</f>
        <v>Outras actividades de apoio  social com alojamento</v>
      </c>
    </row>
    <row r="1722" spans="1:3" ht="15">
      <c r="A1722">
        <v>4</v>
      </c>
      <c r="B1722" t="str">
        <f>"8790"</f>
        <v>8790</v>
      </c>
      <c r="C1722" t="str">
        <f>"Outras actividades de apoio  social com alojamento"</f>
        <v>Outras actividades de apoio  social com alojamento</v>
      </c>
    </row>
    <row r="1723" spans="1:3" ht="15">
      <c r="A1723">
        <v>5</v>
      </c>
      <c r="B1723" t="str">
        <f>"87901"</f>
        <v>87901</v>
      </c>
      <c r="C1723" t="str">
        <f>"Actividades de apoio social para crianças e jovens, com alojamento"</f>
        <v>Actividades de apoio social para crianças e jovens, com alojamento</v>
      </c>
    </row>
    <row r="1724" spans="1:3" ht="15">
      <c r="A1724">
        <v>5</v>
      </c>
      <c r="B1724" t="str">
        <f>"87902"</f>
        <v>87902</v>
      </c>
      <c r="C1724" t="str">
        <f>"Actividades de apoio social com alojamento, n.e."</f>
        <v>Actividades de apoio social com alojamento, n.e.</v>
      </c>
    </row>
    <row r="1725" spans="1:3" ht="15">
      <c r="A1725">
        <v>2</v>
      </c>
      <c r="B1725" t="str">
        <f>"88"</f>
        <v>88</v>
      </c>
      <c r="C1725" t="str">
        <f>"Actividades de apoio social sem alojamento"</f>
        <v>Actividades de apoio social sem alojamento</v>
      </c>
    </row>
    <row r="1726" spans="1:3" ht="15">
      <c r="A1726">
        <v>3</v>
      </c>
      <c r="B1726" t="str">
        <f>"881"</f>
        <v>881</v>
      </c>
      <c r="C1726" t="str">
        <f>"Actividades de apoio social para pessoas idosas e com deficiência, sem alojamento"</f>
        <v>Actividades de apoio social para pessoas idosas e com deficiência, sem alojamento</v>
      </c>
    </row>
    <row r="1727" spans="1:3" ht="15">
      <c r="A1727">
        <v>4</v>
      </c>
      <c r="B1727" t="str">
        <f>"8810"</f>
        <v>8810</v>
      </c>
      <c r="C1727" t="str">
        <f>"Actividades de apoio social para pessoas idosas e com deficiência, sem alojamento"</f>
        <v>Actividades de apoio social para pessoas idosas e com deficiência, sem alojamento</v>
      </c>
    </row>
    <row r="1728" spans="1:3" ht="15">
      <c r="A1728">
        <v>5</v>
      </c>
      <c r="B1728" t="str">
        <f>"88101"</f>
        <v>88101</v>
      </c>
      <c r="C1728" t="str">
        <f>"Actividades de apoio social para pessoas idosas, sem alojamento"</f>
        <v>Actividades de apoio social para pessoas idosas, sem alojamento</v>
      </c>
    </row>
    <row r="1729" spans="1:3" ht="15">
      <c r="A1729">
        <v>5</v>
      </c>
      <c r="B1729" t="str">
        <f>"88102"</f>
        <v>88102</v>
      </c>
      <c r="C1729" t="str">
        <f>"Actividades de apoio social para pessoas com deficiência, sem alojamento"</f>
        <v>Actividades de apoio social para pessoas com deficiência, sem alojamento</v>
      </c>
    </row>
    <row r="1730" spans="1:3" ht="15">
      <c r="A1730">
        <v>3</v>
      </c>
      <c r="B1730" t="str">
        <f>"889"</f>
        <v>889</v>
      </c>
      <c r="C1730" t="str">
        <f>"Outras actividades de apoio social sem alojamento"</f>
        <v>Outras actividades de apoio social sem alojamento</v>
      </c>
    </row>
    <row r="1731" spans="1:3" ht="15">
      <c r="A1731">
        <v>4</v>
      </c>
      <c r="B1731" t="str">
        <f>"8891"</f>
        <v>8891</v>
      </c>
      <c r="C1731" t="str">
        <f>"Actividades de cuidados  para crianças, sem alojamento"</f>
        <v>Actividades de cuidados  para crianças, sem alojamento</v>
      </c>
    </row>
    <row r="1732" spans="1:3" ht="15">
      <c r="A1732">
        <v>5</v>
      </c>
      <c r="B1732" t="str">
        <f>"88910"</f>
        <v>88910</v>
      </c>
      <c r="C1732" t="str">
        <f>"Actividades de cuidados  para crianças, sem alojamento"</f>
        <v>Actividades de cuidados  para crianças, sem alojamento</v>
      </c>
    </row>
    <row r="1733" spans="1:3" ht="15">
      <c r="A1733">
        <v>4</v>
      </c>
      <c r="B1733" t="str">
        <f>"8899"</f>
        <v>8899</v>
      </c>
      <c r="C1733" t="str">
        <f>"Outras actividades de apoio  social sem alojamento, n.e."</f>
        <v>Outras actividades de apoio  social sem alojamento, n.e.</v>
      </c>
    </row>
    <row r="1734" spans="1:3" ht="15">
      <c r="A1734">
        <v>5</v>
      </c>
      <c r="B1734" t="str">
        <f>"88990"</f>
        <v>88990</v>
      </c>
      <c r="C1734" t="str">
        <f>"Outras actividades de apoio  social sem alojamento, n.e."</f>
        <v>Outras actividades de apoio  social sem alojamento, n.e.</v>
      </c>
    </row>
    <row r="1735" spans="1:3" ht="15">
      <c r="A1735">
        <v>1</v>
      </c>
      <c r="B1735" t="str">
        <f>"R"</f>
        <v>R</v>
      </c>
      <c r="C1735" t="str">
        <f>"Actividades artísticas, de espectáculos, desportivas e recreativas"</f>
        <v>Actividades artísticas, de espectáculos, desportivas e recreativas</v>
      </c>
    </row>
    <row r="1736" spans="1:3" ht="15">
      <c r="A1736">
        <v>2</v>
      </c>
      <c r="B1736" t="str">
        <f>"90"</f>
        <v>90</v>
      </c>
      <c r="C1736" t="str">
        <f>"Actividades de teatro, de música, de dança e outras actividades artísticas e literárias"</f>
        <v>Actividades de teatro, de música, de dança e outras actividades artísticas e literárias</v>
      </c>
    </row>
    <row r="1737" spans="1:3" ht="15">
      <c r="A1737">
        <v>3</v>
      </c>
      <c r="B1737" t="str">
        <f>"900"</f>
        <v>900</v>
      </c>
      <c r="C1737" t="str">
        <f>"Actividades de teatro, de música, de dança e outras actividades artísticas e literárias"</f>
        <v>Actividades de teatro, de música, de dança e outras actividades artísticas e literárias</v>
      </c>
    </row>
    <row r="1738" spans="1:3" ht="15">
      <c r="A1738">
        <v>4</v>
      </c>
      <c r="B1738" t="str">
        <f>"9001"</f>
        <v>9001</v>
      </c>
      <c r="C1738" t="str">
        <f>"Actividades das artes do espectáculo"</f>
        <v>Actividades das artes do espectáculo</v>
      </c>
    </row>
    <row r="1739" spans="1:3" ht="15">
      <c r="A1739">
        <v>5</v>
      </c>
      <c r="B1739" t="str">
        <f>"90010"</f>
        <v>90010</v>
      </c>
      <c r="C1739" t="str">
        <f>"Actividades das artes do espectáculo"</f>
        <v>Actividades das artes do espectáculo</v>
      </c>
    </row>
    <row r="1740" spans="1:3" ht="15">
      <c r="A1740">
        <v>4</v>
      </c>
      <c r="B1740" t="str">
        <f>"9002"</f>
        <v>9002</v>
      </c>
      <c r="C1740" t="str">
        <f>"Actividades de apoio às artes do espectáculo"</f>
        <v>Actividades de apoio às artes do espectáculo</v>
      </c>
    </row>
    <row r="1741" spans="1:3" ht="15">
      <c r="A1741">
        <v>5</v>
      </c>
      <c r="B1741" t="str">
        <f>"90020"</f>
        <v>90020</v>
      </c>
      <c r="C1741" t="str">
        <f>"Actividades de apoio às artes do espectáculo"</f>
        <v>Actividades de apoio às artes do espectáculo</v>
      </c>
    </row>
    <row r="1742" spans="1:3" ht="15">
      <c r="A1742">
        <v>4</v>
      </c>
      <c r="B1742" t="str">
        <f>"9003"</f>
        <v>9003</v>
      </c>
      <c r="C1742" t="str">
        <f>"Criação artística e literária"</f>
        <v>Criação artística e literária</v>
      </c>
    </row>
    <row r="1743" spans="1:3" ht="15">
      <c r="A1743">
        <v>5</v>
      </c>
      <c r="B1743" t="str">
        <f>"90030"</f>
        <v>90030</v>
      </c>
      <c r="C1743" t="str">
        <f>"Criação artística e literária"</f>
        <v>Criação artística e literária</v>
      </c>
    </row>
    <row r="1744" spans="1:3" ht="15">
      <c r="A1744">
        <v>4</v>
      </c>
      <c r="B1744" t="str">
        <f>"9004"</f>
        <v>9004</v>
      </c>
      <c r="C1744" t="str">
        <f>"Exploração de salas de espectáculos e actividades conexas"</f>
        <v>Exploração de salas de espectáculos e actividades conexas</v>
      </c>
    </row>
    <row r="1745" spans="1:3" ht="15">
      <c r="A1745">
        <v>5</v>
      </c>
      <c r="B1745" t="str">
        <f>"90040"</f>
        <v>90040</v>
      </c>
      <c r="C1745" t="str">
        <f>"Exploração de salas de espectáculos e actividades conexas"</f>
        <v>Exploração de salas de espectáculos e actividades conexas</v>
      </c>
    </row>
    <row r="1746" spans="1:3" ht="15">
      <c r="A1746">
        <v>2</v>
      </c>
      <c r="B1746" t="str">
        <f>"91"</f>
        <v>91</v>
      </c>
      <c r="C1746" t="str">
        <f>"Actividades das bibliotecas, arquivos, museus e outras actividades culturais"</f>
        <v>Actividades das bibliotecas, arquivos, museus e outras actividades culturais</v>
      </c>
    </row>
    <row r="1747" spans="1:3" ht="15">
      <c r="A1747">
        <v>3</v>
      </c>
      <c r="B1747" t="str">
        <f>"910"</f>
        <v>910</v>
      </c>
      <c r="C1747" t="str">
        <f>"Actividades das bibliotecas, arquivos, museus e outras actividades culturais"</f>
        <v>Actividades das bibliotecas, arquivos, museus e outras actividades culturais</v>
      </c>
    </row>
    <row r="1748" spans="1:3" ht="15">
      <c r="A1748">
        <v>4</v>
      </c>
      <c r="B1748" t="str">
        <f>"9101"</f>
        <v>9101</v>
      </c>
      <c r="C1748" t="str">
        <f>"Actividades das bibliotecas e arquivos"</f>
        <v>Actividades das bibliotecas e arquivos</v>
      </c>
    </row>
    <row r="1749" spans="1:3" ht="15">
      <c r="A1749">
        <v>5</v>
      </c>
      <c r="B1749" t="str">
        <f>"91011"</f>
        <v>91011</v>
      </c>
      <c r="C1749" t="str">
        <f>"Actividades das bibliotecas"</f>
        <v>Actividades das bibliotecas</v>
      </c>
    </row>
    <row r="1750" spans="1:3" ht="15">
      <c r="A1750">
        <v>5</v>
      </c>
      <c r="B1750" t="str">
        <f>"91012"</f>
        <v>91012</v>
      </c>
      <c r="C1750" t="str">
        <f>"Actividades dos arquivos"</f>
        <v>Actividades dos arquivos</v>
      </c>
    </row>
    <row r="1751" spans="1:3" ht="15">
      <c r="A1751">
        <v>4</v>
      </c>
      <c r="B1751" t="str">
        <f>"9102"</f>
        <v>9102</v>
      </c>
      <c r="C1751" t="str">
        <f>"Actividades dos museus"</f>
        <v>Actividades dos museus</v>
      </c>
    </row>
    <row r="1752" spans="1:3" ht="15">
      <c r="A1752">
        <v>5</v>
      </c>
      <c r="B1752" t="str">
        <f>"91020"</f>
        <v>91020</v>
      </c>
      <c r="C1752" t="str">
        <f>"Actividades dos museus"</f>
        <v>Actividades dos museus</v>
      </c>
    </row>
    <row r="1753" spans="1:3" ht="15">
      <c r="A1753">
        <v>4</v>
      </c>
      <c r="B1753" t="str">
        <f>"9103"</f>
        <v>9103</v>
      </c>
      <c r="C1753" t="str">
        <f>"Actividades dos sítios e  monumentos históricos"</f>
        <v>Actividades dos sítios e  monumentos históricos</v>
      </c>
    </row>
    <row r="1754" spans="1:3" ht="15">
      <c r="A1754">
        <v>5</v>
      </c>
      <c r="B1754" t="str">
        <f>"91030"</f>
        <v>91030</v>
      </c>
      <c r="C1754" t="str">
        <f>"Actividades dos sítios e  monumentos históricos"</f>
        <v>Actividades dos sítios e  monumentos históricos</v>
      </c>
    </row>
    <row r="1755" spans="1:3" ht="15">
      <c r="A1755">
        <v>4</v>
      </c>
      <c r="B1755" t="str">
        <f>"9104"</f>
        <v>9104</v>
      </c>
      <c r="C1755" t="str">
        <f>"Actividades dos jardins zoológicos, botânicos e aquários e dos parques e reservas naturais"</f>
        <v>Actividades dos jardins zoológicos, botânicos e aquários e dos parques e reservas naturais</v>
      </c>
    </row>
    <row r="1756" spans="1:3" ht="15">
      <c r="A1756">
        <v>5</v>
      </c>
      <c r="B1756" t="str">
        <f>"91041"</f>
        <v>91041</v>
      </c>
      <c r="C1756" t="str">
        <f>"Actividades dos jardins  zoológicos, botânicos e aquários"</f>
        <v>Actividades dos jardins  zoológicos, botânicos e aquários</v>
      </c>
    </row>
    <row r="1757" spans="1:3" ht="15">
      <c r="A1757">
        <v>5</v>
      </c>
      <c r="B1757" t="str">
        <f>"91042"</f>
        <v>91042</v>
      </c>
      <c r="C1757" t="str">
        <f>"Actividade dos parques e reservas naturais "</f>
        <v>Actividade dos parques e reservas naturais </v>
      </c>
    </row>
    <row r="1758" spans="1:3" ht="15">
      <c r="A1758">
        <v>2</v>
      </c>
      <c r="B1758" t="str">
        <f>"92"</f>
        <v>92</v>
      </c>
      <c r="C1758" t="str">
        <f>"Lotarias e outros jogos de aposta"</f>
        <v>Lotarias e outros jogos de aposta</v>
      </c>
    </row>
    <row r="1759" spans="1:3" ht="15">
      <c r="A1759">
        <v>3</v>
      </c>
      <c r="B1759" t="str">
        <f>"920"</f>
        <v>920</v>
      </c>
      <c r="C1759" t="str">
        <f>"Lotarias e outros jogos de aposta"</f>
        <v>Lotarias e outros jogos de aposta</v>
      </c>
    </row>
    <row r="1760" spans="1:3" ht="15">
      <c r="A1760">
        <v>4</v>
      </c>
      <c r="B1760" t="str">
        <f>"9200"</f>
        <v>9200</v>
      </c>
      <c r="C1760" t="str">
        <f>"Lotarias e outros jogos de aposta"</f>
        <v>Lotarias e outros jogos de aposta</v>
      </c>
    </row>
    <row r="1761" spans="1:3" ht="15">
      <c r="A1761">
        <v>5</v>
      </c>
      <c r="B1761" t="str">
        <f>"92000"</f>
        <v>92000</v>
      </c>
      <c r="C1761" t="str">
        <f>"Lotarias e outros jogos de aposta"</f>
        <v>Lotarias e outros jogos de aposta</v>
      </c>
    </row>
    <row r="1762" spans="1:3" ht="15">
      <c r="A1762">
        <v>2</v>
      </c>
      <c r="B1762" t="str">
        <f>"93"</f>
        <v>93</v>
      </c>
      <c r="C1762" t="str">
        <f>"Actividades desportivas, de diversão e recreativas"</f>
        <v>Actividades desportivas, de diversão e recreativas</v>
      </c>
    </row>
    <row r="1763" spans="1:3" ht="15">
      <c r="A1763">
        <v>3</v>
      </c>
      <c r="B1763" t="str">
        <f>"931"</f>
        <v>931</v>
      </c>
      <c r="C1763" t="str">
        <f>"Actividades desportivas"</f>
        <v>Actividades desportivas</v>
      </c>
    </row>
    <row r="1764" spans="1:3" ht="15">
      <c r="A1764">
        <v>4</v>
      </c>
      <c r="B1764" t="str">
        <f>"9311"</f>
        <v>9311</v>
      </c>
      <c r="C1764" t="str">
        <f>"Gestão de instalações desportivas"</f>
        <v>Gestão de instalações desportivas</v>
      </c>
    </row>
    <row r="1765" spans="1:3" ht="15">
      <c r="A1765">
        <v>5</v>
      </c>
      <c r="B1765" t="str">
        <f>"93110"</f>
        <v>93110</v>
      </c>
      <c r="C1765" t="str">
        <f>"Gestão de instalações desportivas"</f>
        <v>Gestão de instalações desportivas</v>
      </c>
    </row>
    <row r="1766" spans="1:3" ht="15">
      <c r="A1766">
        <v>4</v>
      </c>
      <c r="B1766" t="str">
        <f>"9312"</f>
        <v>9312</v>
      </c>
      <c r="C1766" t="str">
        <f>"Actividades dos clubes desportivos"</f>
        <v>Actividades dos clubes desportivos</v>
      </c>
    </row>
    <row r="1767" spans="1:3" ht="15">
      <c r="A1767">
        <v>5</v>
      </c>
      <c r="B1767" t="str">
        <f>"93120"</f>
        <v>93120</v>
      </c>
      <c r="C1767" t="str">
        <f>"Actividades dos clubes desportivos"</f>
        <v>Actividades dos clubes desportivos</v>
      </c>
    </row>
    <row r="1768" spans="1:3" ht="15">
      <c r="A1768">
        <v>4</v>
      </c>
      <c r="B1768" t="str">
        <f>"9313"</f>
        <v>9313</v>
      </c>
      <c r="C1768" t="str">
        <f>"Actividades de ginásio  (fitness)"</f>
        <v>Actividades de ginásio  (fitness)</v>
      </c>
    </row>
    <row r="1769" spans="1:3" ht="15">
      <c r="A1769">
        <v>5</v>
      </c>
      <c r="B1769" t="str">
        <f>"93130"</f>
        <v>93130</v>
      </c>
      <c r="C1769" t="str">
        <f>"Actividades de ginásio  (fitness)"</f>
        <v>Actividades de ginásio  (fitness)</v>
      </c>
    </row>
    <row r="1770" spans="1:3" ht="15">
      <c r="A1770">
        <v>4</v>
      </c>
      <c r="B1770" t="str">
        <f>"9319"</f>
        <v>9319</v>
      </c>
      <c r="C1770" t="str">
        <f>"Outras actividades desportivas"</f>
        <v>Outras actividades desportivas</v>
      </c>
    </row>
    <row r="1771" spans="1:3" ht="15">
      <c r="A1771">
        <v>5</v>
      </c>
      <c r="B1771" t="str">
        <f>"93191"</f>
        <v>93191</v>
      </c>
      <c r="C1771" t="str">
        <f>"Organismos reguladores das actividades desportivas"</f>
        <v>Organismos reguladores das actividades desportivas</v>
      </c>
    </row>
    <row r="1772" spans="1:3" ht="15">
      <c r="A1772">
        <v>5</v>
      </c>
      <c r="B1772" t="str">
        <f>"93192"</f>
        <v>93192</v>
      </c>
      <c r="C1772" t="str">
        <f>"Outras actividades desportivas, n.e."</f>
        <v>Outras actividades desportivas, n.e.</v>
      </c>
    </row>
    <row r="1773" spans="1:3" ht="15">
      <c r="A1773">
        <v>3</v>
      </c>
      <c r="B1773" t="str">
        <f>"932"</f>
        <v>932</v>
      </c>
      <c r="C1773" t="str">
        <f>"Actividades de diversão e recreativas"</f>
        <v>Actividades de diversão e recreativas</v>
      </c>
    </row>
    <row r="1774" spans="1:3" ht="15">
      <c r="A1774">
        <v>4</v>
      </c>
      <c r="B1774" t="str">
        <f>"9321"</f>
        <v>9321</v>
      </c>
      <c r="C1774" t="str">
        <f>"Actividades dos  parques de diversão e temáticos"</f>
        <v>Actividades dos  parques de diversão e temáticos</v>
      </c>
    </row>
    <row r="1775" spans="1:3" ht="15">
      <c r="A1775">
        <v>5</v>
      </c>
      <c r="B1775" t="str">
        <f>"93210"</f>
        <v>93210</v>
      </c>
      <c r="C1775" t="str">
        <f>"Actividades dos  parques de diversão e temáticos"</f>
        <v>Actividades dos  parques de diversão e temáticos</v>
      </c>
    </row>
    <row r="1776" spans="1:3" ht="15">
      <c r="A1776">
        <v>4</v>
      </c>
      <c r="B1776" t="str">
        <f>"9329"</f>
        <v>9329</v>
      </c>
      <c r="C1776" t="str">
        <f>"Outras actividades de diversão e recreativas"</f>
        <v>Outras actividades de diversão e recreativas</v>
      </c>
    </row>
    <row r="1777" spans="1:3" ht="15">
      <c r="A1777">
        <v>5</v>
      </c>
      <c r="B1777" t="str">
        <f>"93291"</f>
        <v>93291</v>
      </c>
      <c r="C1777" t="str">
        <f>"Actividades tauromáquicas"</f>
        <v>Actividades tauromáquicas</v>
      </c>
    </row>
    <row r="1778" spans="1:3" ht="15">
      <c r="A1778">
        <v>5</v>
      </c>
      <c r="B1778" t="str">
        <f>"93292"</f>
        <v>93292</v>
      </c>
      <c r="C1778" t="str">
        <f>"Actividades dos portos de recreio (marinas)"</f>
        <v>Actividades dos portos de recreio (marinas)</v>
      </c>
    </row>
    <row r="1779" spans="1:3" ht="15">
      <c r="A1779">
        <v>5</v>
      </c>
      <c r="B1779" t="str">
        <f>"93293"</f>
        <v>93293</v>
      </c>
      <c r="C1779" t="str">
        <f>"Organização de actividades de animação turística"</f>
        <v>Organização de actividades de animação turística</v>
      </c>
    </row>
    <row r="1780" spans="1:3" ht="15">
      <c r="A1780">
        <v>5</v>
      </c>
      <c r="B1780" t="str">
        <f>"93294"</f>
        <v>93294</v>
      </c>
      <c r="C1780" t="str">
        <f>"Outras actividades de diversão e recreativas, n.e."</f>
        <v>Outras actividades de diversão e recreativas, n.e.</v>
      </c>
    </row>
    <row r="1781" spans="1:3" ht="15">
      <c r="A1781">
        <v>1</v>
      </c>
      <c r="B1781" t="str">
        <f>"S"</f>
        <v>S</v>
      </c>
      <c r="C1781" t="str">
        <f>"Outras actividades de serviços"</f>
        <v>Outras actividades de serviços</v>
      </c>
    </row>
    <row r="1782" spans="1:3" ht="15">
      <c r="A1782">
        <v>2</v>
      </c>
      <c r="B1782" t="str">
        <f>"94"</f>
        <v>94</v>
      </c>
      <c r="C1782" t="str">
        <f>"Actividades das organizações associativas"</f>
        <v>Actividades das organizações associativas</v>
      </c>
    </row>
    <row r="1783" spans="1:3" ht="15">
      <c r="A1783">
        <v>3</v>
      </c>
      <c r="B1783" t="str">
        <f>"941"</f>
        <v>941</v>
      </c>
      <c r="C1783" t="str">
        <f>"Actividades de organizações económicas, patronais e profissionais"</f>
        <v>Actividades de organizações económicas, patronais e profissionais</v>
      </c>
    </row>
    <row r="1784" spans="1:3" ht="15">
      <c r="A1784">
        <v>4</v>
      </c>
      <c r="B1784" t="str">
        <f>"9411"</f>
        <v>9411</v>
      </c>
      <c r="C1784" t="str">
        <f>"Actividades de organizações económicas e patronais"</f>
        <v>Actividades de organizações económicas e patronais</v>
      </c>
    </row>
    <row r="1785" spans="1:3" ht="15">
      <c r="A1785">
        <v>5</v>
      </c>
      <c r="B1785" t="str">
        <f>"94110"</f>
        <v>94110</v>
      </c>
      <c r="C1785" t="str">
        <f>"Actividades de organizações económicas e patronais"</f>
        <v>Actividades de organizações económicas e patronais</v>
      </c>
    </row>
    <row r="1786" spans="1:3" ht="15">
      <c r="A1786">
        <v>4</v>
      </c>
      <c r="B1786" t="str">
        <f>"9412"</f>
        <v>9412</v>
      </c>
      <c r="C1786" t="str">
        <f>"Actividades de organizações profissionais"</f>
        <v>Actividades de organizações profissionais</v>
      </c>
    </row>
    <row r="1787" spans="1:3" ht="15">
      <c r="A1787">
        <v>5</v>
      </c>
      <c r="B1787" t="str">
        <f>"94120"</f>
        <v>94120</v>
      </c>
      <c r="C1787" t="str">
        <f>"Actividades de organizações profissionais"</f>
        <v>Actividades de organizações profissionais</v>
      </c>
    </row>
    <row r="1788" spans="1:3" ht="15">
      <c r="A1788">
        <v>3</v>
      </c>
      <c r="B1788" t="str">
        <f>"942"</f>
        <v>942</v>
      </c>
      <c r="C1788" t="str">
        <f>"Actividades de organizações sindicais"</f>
        <v>Actividades de organizações sindicais</v>
      </c>
    </row>
    <row r="1789" spans="1:3" ht="15">
      <c r="A1789">
        <v>4</v>
      </c>
      <c r="B1789" t="str">
        <f>"9420"</f>
        <v>9420</v>
      </c>
      <c r="C1789" t="str">
        <f>"Actividades de organizações sindicais"</f>
        <v>Actividades de organizações sindicais</v>
      </c>
    </row>
    <row r="1790" spans="1:3" ht="15">
      <c r="A1790">
        <v>5</v>
      </c>
      <c r="B1790" t="str">
        <f>"94200"</f>
        <v>94200</v>
      </c>
      <c r="C1790" t="str">
        <f>"Actividades de organizações sindicais"</f>
        <v>Actividades de organizações sindicais</v>
      </c>
    </row>
    <row r="1791" spans="1:3" ht="15">
      <c r="A1791">
        <v>3</v>
      </c>
      <c r="B1791" t="str">
        <f>"949"</f>
        <v>949</v>
      </c>
      <c r="C1791" t="str">
        <f>"Outras actividades de organizações associativas"</f>
        <v>Outras actividades de organizações associativas</v>
      </c>
    </row>
    <row r="1792" spans="1:3" ht="15">
      <c r="A1792">
        <v>4</v>
      </c>
      <c r="B1792" t="str">
        <f>"9491"</f>
        <v>9491</v>
      </c>
      <c r="C1792" t="str">
        <f>"Actividades de organizações religiosas"</f>
        <v>Actividades de organizações religiosas</v>
      </c>
    </row>
    <row r="1793" spans="1:3" ht="15">
      <c r="A1793">
        <v>5</v>
      </c>
      <c r="B1793" t="str">
        <f>"94910"</f>
        <v>94910</v>
      </c>
      <c r="C1793" t="str">
        <f>"Actividades de organizações religiosas"</f>
        <v>Actividades de organizações religiosas</v>
      </c>
    </row>
    <row r="1794" spans="1:3" ht="15">
      <c r="A1794">
        <v>4</v>
      </c>
      <c r="B1794" t="str">
        <f>"9492"</f>
        <v>9492</v>
      </c>
      <c r="C1794" t="str">
        <f>"Actividades de organizações políticas"</f>
        <v>Actividades de organizações políticas</v>
      </c>
    </row>
    <row r="1795" spans="1:3" ht="15">
      <c r="A1795">
        <v>5</v>
      </c>
      <c r="B1795" t="str">
        <f>"94920"</f>
        <v>94920</v>
      </c>
      <c r="C1795" t="str">
        <f>"Actividades de organizações políticas"</f>
        <v>Actividades de organizações políticas</v>
      </c>
    </row>
    <row r="1796" spans="1:3" ht="15">
      <c r="A1796">
        <v>4</v>
      </c>
      <c r="B1796" t="str">
        <f>"9499"</f>
        <v>9499</v>
      </c>
      <c r="C1796" t="str">
        <f>"Outras actividades de organizações associativas, n.e."</f>
        <v>Outras actividades de organizações associativas, n.e.</v>
      </c>
    </row>
    <row r="1797" spans="1:3" ht="15">
      <c r="A1797">
        <v>5</v>
      </c>
      <c r="B1797" t="str">
        <f>"94991"</f>
        <v>94991</v>
      </c>
      <c r="C1797" t="str">
        <f>"Associações culturais e recreativas"</f>
        <v>Associações culturais e recreativas</v>
      </c>
    </row>
    <row r="1798" spans="1:3" ht="15">
      <c r="A1798">
        <v>5</v>
      </c>
      <c r="B1798" t="str">
        <f>"94992"</f>
        <v>94992</v>
      </c>
      <c r="C1798" t="str">
        <f>"Associações de defesa do ambiente"</f>
        <v>Associações de defesa do ambiente</v>
      </c>
    </row>
    <row r="1799" spans="1:3" ht="15">
      <c r="A1799">
        <v>5</v>
      </c>
      <c r="B1799" t="str">
        <f>"94993"</f>
        <v>94993</v>
      </c>
      <c r="C1799" t="str">
        <f>"Associações de juventude e de estudantes"</f>
        <v>Associações de juventude e de estudantes</v>
      </c>
    </row>
    <row r="1800" spans="1:3" ht="15">
      <c r="A1800">
        <v>5</v>
      </c>
      <c r="B1800" t="str">
        <f>"94994"</f>
        <v>94994</v>
      </c>
      <c r="C1800" t="str">
        <f>"Associações de pais e encarregados de educação"</f>
        <v>Associações de pais e encarregados de educação</v>
      </c>
    </row>
    <row r="1801" spans="1:3" ht="15">
      <c r="A1801">
        <v>5</v>
      </c>
      <c r="B1801" t="str">
        <f>"94995"</f>
        <v>94995</v>
      </c>
      <c r="C1801" t="str">
        <f>"Outras actividades associativas, n.e."</f>
        <v>Outras actividades associativas, n.e.</v>
      </c>
    </row>
    <row r="1802" spans="1:3" ht="15">
      <c r="A1802">
        <v>2</v>
      </c>
      <c r="B1802" t="str">
        <f>"95"</f>
        <v>95</v>
      </c>
      <c r="C1802" t="str">
        <f>"Reparação de computadores e de bens de uso pessoal e doméstico"</f>
        <v>Reparação de computadores e de bens de uso pessoal e doméstico</v>
      </c>
    </row>
    <row r="1803" spans="1:3" ht="15">
      <c r="A1803">
        <v>3</v>
      </c>
      <c r="B1803" t="str">
        <f>"951"</f>
        <v>951</v>
      </c>
      <c r="C1803" t="str">
        <f>"Reparação de computadores e de equipamento de comunicação "</f>
        <v>Reparação de computadores e de equipamento de comunicação </v>
      </c>
    </row>
    <row r="1804" spans="1:3" ht="15">
      <c r="A1804">
        <v>4</v>
      </c>
      <c r="B1804" t="str">
        <f>"9511"</f>
        <v>9511</v>
      </c>
      <c r="C1804" t="str">
        <f>"Reparação  de computadores e de equipamento periférico"</f>
        <v>Reparação  de computadores e de equipamento periférico</v>
      </c>
    </row>
    <row r="1805" spans="1:3" ht="15">
      <c r="A1805">
        <v>5</v>
      </c>
      <c r="B1805" t="str">
        <f>"95110"</f>
        <v>95110</v>
      </c>
      <c r="C1805" t="str">
        <f>"Reparação  de computadores e de equipamento periférico"</f>
        <v>Reparação  de computadores e de equipamento periférico</v>
      </c>
    </row>
    <row r="1806" spans="1:3" ht="15">
      <c r="A1806">
        <v>4</v>
      </c>
      <c r="B1806" t="str">
        <f>"9512"</f>
        <v>9512</v>
      </c>
      <c r="C1806" t="str">
        <f>"Reparação de equipamento de comunicação"</f>
        <v>Reparação de equipamento de comunicação</v>
      </c>
    </row>
    <row r="1807" spans="1:3" ht="15">
      <c r="A1807">
        <v>5</v>
      </c>
      <c r="B1807" t="str">
        <f>"95120"</f>
        <v>95120</v>
      </c>
      <c r="C1807" t="str">
        <f>"Reparação de equipamento de comunicação"</f>
        <v>Reparação de equipamento de comunicação</v>
      </c>
    </row>
    <row r="1808" spans="1:3" ht="15">
      <c r="A1808">
        <v>3</v>
      </c>
      <c r="B1808" t="str">
        <f>"952"</f>
        <v>952</v>
      </c>
      <c r="C1808" t="str">
        <f>"Reparação de bens de uso pessoal e doméstico"</f>
        <v>Reparação de bens de uso pessoal e doméstico</v>
      </c>
    </row>
    <row r="1809" spans="1:3" ht="15">
      <c r="A1809">
        <v>4</v>
      </c>
      <c r="B1809" t="str">
        <f>"9521"</f>
        <v>9521</v>
      </c>
      <c r="C1809" t="str">
        <f>"Reparação   de televisores e de outros bens de consumo similares"</f>
        <v>Reparação   de televisores e de outros bens de consumo similares</v>
      </c>
    </row>
    <row r="1810" spans="1:3" ht="15">
      <c r="A1810">
        <v>5</v>
      </c>
      <c r="B1810" t="str">
        <f>"95210"</f>
        <v>95210</v>
      </c>
      <c r="C1810" t="str">
        <f>"Reparação   de televisores e de outros bens de consumo similares"</f>
        <v>Reparação   de televisores e de outros bens de consumo similares</v>
      </c>
    </row>
    <row r="1811" spans="1:3" ht="15">
      <c r="A1811">
        <v>4</v>
      </c>
      <c r="B1811" t="str">
        <f>"9522"</f>
        <v>9522</v>
      </c>
      <c r="C1811" t="str">
        <f>"Reparação de electrodomésticos e de outros equipamentos de uso doméstico e para jardim"</f>
        <v>Reparação de electrodomésticos e de outros equipamentos de uso doméstico e para jardim</v>
      </c>
    </row>
    <row r="1812" spans="1:3" ht="15">
      <c r="A1812">
        <v>5</v>
      </c>
      <c r="B1812" t="str">
        <f>"95220"</f>
        <v>95220</v>
      </c>
      <c r="C1812" t="str">
        <f>"Reparação de electrodomésticos e de outros equipamentos de uso doméstico e para jardim"</f>
        <v>Reparação de electrodomésticos e de outros equipamentos de uso doméstico e para jardim</v>
      </c>
    </row>
    <row r="1813" spans="1:3" ht="15">
      <c r="A1813">
        <v>4</v>
      </c>
      <c r="B1813" t="str">
        <f>"9523"</f>
        <v>9523</v>
      </c>
      <c r="C1813" t="str">
        <f>"Reparação de calçado e de artigos de couro"</f>
        <v>Reparação de calçado e de artigos de couro</v>
      </c>
    </row>
    <row r="1814" spans="1:3" ht="15">
      <c r="A1814">
        <v>5</v>
      </c>
      <c r="B1814" t="str">
        <f>"95230"</f>
        <v>95230</v>
      </c>
      <c r="C1814" t="str">
        <f>"Reparação de calçado e de artigos de couro"</f>
        <v>Reparação de calçado e de artigos de couro</v>
      </c>
    </row>
    <row r="1815" spans="1:3" ht="15">
      <c r="A1815">
        <v>4</v>
      </c>
      <c r="B1815" t="str">
        <f>"9524"</f>
        <v>9524</v>
      </c>
      <c r="C1815" t="str">
        <f>"Reparação de mobiliário e similares, de uso doméstico"</f>
        <v>Reparação de mobiliário e similares, de uso doméstico</v>
      </c>
    </row>
    <row r="1816" spans="1:3" ht="15">
      <c r="A1816">
        <v>5</v>
      </c>
      <c r="B1816" t="str">
        <f>"95240"</f>
        <v>95240</v>
      </c>
      <c r="C1816" t="str">
        <f>"Reparação de mobiliário e similares, de uso doméstico"</f>
        <v>Reparação de mobiliário e similares, de uso doméstico</v>
      </c>
    </row>
    <row r="1817" spans="1:3" ht="15">
      <c r="A1817">
        <v>4</v>
      </c>
      <c r="B1817" t="str">
        <f>"9525"</f>
        <v>9525</v>
      </c>
      <c r="C1817" t="str">
        <f>"Reparação de relógios e de artigos de joalharia"</f>
        <v>Reparação de relógios e de artigos de joalharia</v>
      </c>
    </row>
    <row r="1818" spans="1:3" ht="15">
      <c r="A1818">
        <v>5</v>
      </c>
      <c r="B1818" t="str">
        <f>"95250"</f>
        <v>95250</v>
      </c>
      <c r="C1818" t="str">
        <f>"Reparação de relógios e de artigos de joalharia"</f>
        <v>Reparação de relógios e de artigos de joalharia</v>
      </c>
    </row>
    <row r="1819" spans="1:3" ht="15">
      <c r="A1819">
        <v>4</v>
      </c>
      <c r="B1819" t="str">
        <f>"9529"</f>
        <v>9529</v>
      </c>
      <c r="C1819" t="str">
        <f>"Reparação de outros bens de uso pessoal e doméstico"</f>
        <v>Reparação de outros bens de uso pessoal e doméstico</v>
      </c>
    </row>
    <row r="1820" spans="1:3" ht="15">
      <c r="A1820">
        <v>5</v>
      </c>
      <c r="B1820" t="str">
        <f>"95290"</f>
        <v>95290</v>
      </c>
      <c r="C1820" t="str">
        <f>"Reparação de outros bens de uso pessoal e doméstico"</f>
        <v>Reparação de outros bens de uso pessoal e doméstico</v>
      </c>
    </row>
    <row r="1821" spans="1:3" ht="15">
      <c r="A1821">
        <v>2</v>
      </c>
      <c r="B1821" t="str">
        <f>"96"</f>
        <v>96</v>
      </c>
      <c r="C1821" t="str">
        <f>"Outras actividades de serviços pessoais"</f>
        <v>Outras actividades de serviços pessoais</v>
      </c>
    </row>
    <row r="1822" spans="1:3" ht="15">
      <c r="A1822">
        <v>3</v>
      </c>
      <c r="B1822" t="str">
        <f>"960"</f>
        <v>960</v>
      </c>
      <c r="C1822" t="str">
        <f>"Outras actividades de serviços pessoais"</f>
        <v>Outras actividades de serviços pessoais</v>
      </c>
    </row>
    <row r="1823" spans="1:3" ht="15">
      <c r="A1823">
        <v>4</v>
      </c>
      <c r="B1823" t="str">
        <f>"9601"</f>
        <v>9601</v>
      </c>
      <c r="C1823" t="str">
        <f>"Lavagem e limpeza a seco de têxteis e peles"</f>
        <v>Lavagem e limpeza a seco de têxteis e peles</v>
      </c>
    </row>
    <row r="1824" spans="1:3" ht="15">
      <c r="A1824">
        <v>5</v>
      </c>
      <c r="B1824" t="str">
        <f>"96010"</f>
        <v>96010</v>
      </c>
      <c r="C1824" t="str">
        <f>"Lavagem e limpeza a seco de têxteis e peles"</f>
        <v>Lavagem e limpeza a seco de têxteis e peles</v>
      </c>
    </row>
    <row r="1825" spans="1:3" ht="15">
      <c r="A1825">
        <v>4</v>
      </c>
      <c r="B1825" t="str">
        <f>"9602"</f>
        <v>9602</v>
      </c>
      <c r="C1825" t="str">
        <f>"Actividades de salões de cabeleireiro e institutos de beleza"</f>
        <v>Actividades de salões de cabeleireiro e institutos de beleza</v>
      </c>
    </row>
    <row r="1826" spans="1:3" ht="15">
      <c r="A1826">
        <v>5</v>
      </c>
      <c r="B1826" t="str">
        <f>"96021"</f>
        <v>96021</v>
      </c>
      <c r="C1826" t="str">
        <f>"Salões de cabeleireiro"</f>
        <v>Salões de cabeleireiro</v>
      </c>
    </row>
    <row r="1827" spans="1:3" ht="15">
      <c r="A1827">
        <v>5</v>
      </c>
      <c r="B1827" t="str">
        <f>"96022"</f>
        <v>96022</v>
      </c>
      <c r="C1827" t="str">
        <f>"Institutos de beleza"</f>
        <v>Institutos de beleza</v>
      </c>
    </row>
    <row r="1828" spans="1:3" ht="15">
      <c r="A1828">
        <v>4</v>
      </c>
      <c r="B1828" t="str">
        <f>"9603"</f>
        <v>9603</v>
      </c>
      <c r="C1828" t="str">
        <f>"Actividades funerárias e conexas"</f>
        <v>Actividades funerárias e conexas</v>
      </c>
    </row>
    <row r="1829" spans="1:3" ht="15">
      <c r="A1829">
        <v>5</v>
      </c>
      <c r="B1829" t="str">
        <f>"96030"</f>
        <v>96030</v>
      </c>
      <c r="C1829" t="str">
        <f>"Actividades funerárias e conexas"</f>
        <v>Actividades funerárias e conexas</v>
      </c>
    </row>
    <row r="1830" spans="1:3" ht="15">
      <c r="A1830">
        <v>4</v>
      </c>
      <c r="B1830" t="str">
        <f>"9604"</f>
        <v>9604</v>
      </c>
      <c r="C1830" t="str">
        <f>"Actividades de bem-estar físico"</f>
        <v>Actividades de bem-estar físico</v>
      </c>
    </row>
    <row r="1831" spans="1:3" ht="15">
      <c r="A1831">
        <v>5</v>
      </c>
      <c r="B1831" t="str">
        <f>"96040"</f>
        <v>96040</v>
      </c>
      <c r="C1831" t="str">
        <f>"Actividades de bem-estar físico"</f>
        <v>Actividades de bem-estar físico</v>
      </c>
    </row>
    <row r="1832" spans="1:3" ht="15">
      <c r="A1832">
        <v>4</v>
      </c>
      <c r="B1832" t="str">
        <f>"9609"</f>
        <v>9609</v>
      </c>
      <c r="C1832" t="str">
        <f>"Outras actividades de serviços pessoais, n.e."</f>
        <v>Outras actividades de serviços pessoais, n.e.</v>
      </c>
    </row>
    <row r="1833" spans="1:3" ht="15">
      <c r="A1833">
        <v>5</v>
      </c>
      <c r="B1833" t="str">
        <f>"96091"</f>
        <v>96091</v>
      </c>
      <c r="C1833" t="str">
        <f>"Actividades de tatuagem e similares"</f>
        <v>Actividades de tatuagem e similares</v>
      </c>
    </row>
    <row r="1834" spans="1:3" ht="15">
      <c r="A1834">
        <v>5</v>
      </c>
      <c r="B1834" t="str">
        <f>"96092"</f>
        <v>96092</v>
      </c>
      <c r="C1834" t="str">
        <f>"Actividades dos serviços para animais de companhia"</f>
        <v>Actividades dos serviços para animais de companhia</v>
      </c>
    </row>
    <row r="1835" spans="1:3" ht="15">
      <c r="A1835">
        <v>5</v>
      </c>
      <c r="B1835" t="str">
        <f>"96093"</f>
        <v>96093</v>
      </c>
      <c r="C1835" t="str">
        <f>"Outras actividades de serviços pessoais diversas, n.e."</f>
        <v>Outras actividades de serviços pessoais diversas, n.e.</v>
      </c>
    </row>
    <row r="1836" spans="1:3" ht="15">
      <c r="A1836">
        <v>1</v>
      </c>
      <c r="B1836" t="str">
        <f>"T"</f>
        <v>T</v>
      </c>
      <c r="C1836" t="str">
        <f>"Actividades das famílias empregadoras de pessoal doméstico e actividades de produção das  famílias para uso próprio"</f>
        <v>Actividades das famílias empregadoras de pessoal doméstico e actividades de produção das  famílias para uso próprio</v>
      </c>
    </row>
    <row r="1837" spans="1:3" ht="15">
      <c r="A1837">
        <v>2</v>
      </c>
      <c r="B1837" t="str">
        <f>"97"</f>
        <v>97</v>
      </c>
      <c r="C1837" t="str">
        <f>"Actividades das famílias empregadoras de pessoal doméstico"</f>
        <v>Actividades das famílias empregadoras de pessoal doméstico</v>
      </c>
    </row>
    <row r="1838" spans="1:3" ht="15">
      <c r="A1838">
        <v>3</v>
      </c>
      <c r="B1838" t="str">
        <f>"970"</f>
        <v>970</v>
      </c>
      <c r="C1838" t="str">
        <f>"Actividades das famílias empregadoras de pessoal doméstico"</f>
        <v>Actividades das famílias empregadoras de pessoal doméstico</v>
      </c>
    </row>
    <row r="1839" spans="1:3" ht="15">
      <c r="A1839">
        <v>4</v>
      </c>
      <c r="B1839" t="str">
        <f>"9700"</f>
        <v>9700</v>
      </c>
      <c r="C1839" t="str">
        <f>"Actividades das famílias empregadoras de pessoal doméstico"</f>
        <v>Actividades das famílias empregadoras de pessoal doméstico</v>
      </c>
    </row>
    <row r="1840" spans="1:3" ht="15">
      <c r="A1840">
        <v>5</v>
      </c>
      <c r="B1840" t="str">
        <f>"97000"</f>
        <v>97000</v>
      </c>
      <c r="C1840" t="str">
        <f>"Actividades das famílias empregadoras de pessoal doméstico"</f>
        <v>Actividades das famílias empregadoras de pessoal doméstico</v>
      </c>
    </row>
    <row r="1841" spans="1:3" ht="15">
      <c r="A1841">
        <v>2</v>
      </c>
      <c r="B1841" t="str">
        <f>"98"</f>
        <v>98</v>
      </c>
      <c r="C1841" t="str">
        <f>"Actividades de produção de bens e serviços pelas famílias para uso próprio"</f>
        <v>Actividades de produção de bens e serviços pelas famílias para uso próprio</v>
      </c>
    </row>
    <row r="1842" spans="1:3" ht="15">
      <c r="A1842">
        <v>3</v>
      </c>
      <c r="B1842" t="str">
        <f>"981"</f>
        <v>981</v>
      </c>
      <c r="C1842" t="str">
        <f>"Actividades de produção de bens pelas famílias para uso próprio"</f>
        <v>Actividades de produção de bens pelas famílias para uso próprio</v>
      </c>
    </row>
    <row r="1843" spans="1:3" ht="15">
      <c r="A1843">
        <v>4</v>
      </c>
      <c r="B1843" t="str">
        <f>"9810"</f>
        <v>9810</v>
      </c>
      <c r="C1843" t="str">
        <f>"Actividades de produção de bens pelas famílias para uso próprio"</f>
        <v>Actividades de produção de bens pelas famílias para uso próprio</v>
      </c>
    </row>
    <row r="1844" spans="1:3" ht="15">
      <c r="A1844">
        <v>5</v>
      </c>
      <c r="B1844" t="str">
        <f>"98100"</f>
        <v>98100</v>
      </c>
      <c r="C1844" t="str">
        <f>"Actividades de produção de bens pelas famílias para uso próprio"</f>
        <v>Actividades de produção de bens pelas famílias para uso próprio</v>
      </c>
    </row>
    <row r="1845" spans="1:3" ht="15">
      <c r="A1845">
        <v>3</v>
      </c>
      <c r="B1845" t="str">
        <f>"982"</f>
        <v>982</v>
      </c>
      <c r="C1845" t="str">
        <f>"Actividades de produção de serviços pelas famílias para uso próprio"</f>
        <v>Actividades de produção de serviços pelas famílias para uso próprio</v>
      </c>
    </row>
    <row r="1846" spans="1:3" ht="15">
      <c r="A1846">
        <v>4</v>
      </c>
      <c r="B1846" t="str">
        <f>"9820"</f>
        <v>9820</v>
      </c>
      <c r="C1846" t="str">
        <f>"Actividades de produção de serviços pelas famílias para uso próprio"</f>
        <v>Actividades de produção de serviços pelas famílias para uso próprio</v>
      </c>
    </row>
    <row r="1847" spans="1:3" ht="15">
      <c r="A1847">
        <v>5</v>
      </c>
      <c r="B1847" t="str">
        <f>"98200"</f>
        <v>98200</v>
      </c>
      <c r="C1847" t="str">
        <f>"Actividades de produção de serviços pelas famílias para uso próprio"</f>
        <v>Actividades de produção de serviços pelas famílias para uso próprio</v>
      </c>
    </row>
    <row r="1848" spans="1:3" ht="15">
      <c r="A1848">
        <v>1</v>
      </c>
      <c r="B1848" t="str">
        <f>"U"</f>
        <v>U</v>
      </c>
      <c r="C1848" t="str">
        <f>"Actividades dos organismos internacionais e outras instituições extra-territoriais"</f>
        <v>Actividades dos organismos internacionais e outras instituições extra-territoriais</v>
      </c>
    </row>
    <row r="1849" spans="1:3" ht="15">
      <c r="A1849">
        <v>2</v>
      </c>
      <c r="B1849" t="str">
        <f>"99"</f>
        <v>99</v>
      </c>
      <c r="C1849" t="str">
        <f>"Actividades dos organismos internacionais e outras instituições extra-territoriais"</f>
        <v>Actividades dos organismos internacionais e outras instituições extra-territoriais</v>
      </c>
    </row>
    <row r="1850" spans="1:3" ht="15">
      <c r="A1850">
        <v>3</v>
      </c>
      <c r="B1850" t="str">
        <f>"990"</f>
        <v>990</v>
      </c>
      <c r="C1850" t="str">
        <f>"Actividades dos organismos internacionais e outras instituições extra-territoriais"</f>
        <v>Actividades dos organismos internacionais e outras instituições extra-territoriais</v>
      </c>
    </row>
    <row r="1851" spans="1:3" ht="15">
      <c r="A1851">
        <v>4</v>
      </c>
      <c r="B1851" t="str">
        <f>"9900"</f>
        <v>9900</v>
      </c>
      <c r="C1851" t="str">
        <f>"Actividades dos organismos internacionais e outras instituições extra-territoriais"</f>
        <v>Actividades dos organismos internacionais e outras instituições extra-territoriais</v>
      </c>
    </row>
    <row r="1852" spans="1:3" ht="15">
      <c r="A1852">
        <v>5</v>
      </c>
      <c r="B1852" t="str">
        <f>"99000"</f>
        <v>99000</v>
      </c>
      <c r="C1852" t="str">
        <f>"Actividades dos organismos internacionais e outras instituições extra-territoriais"</f>
        <v>Actividades dos organismos internacionais e outras instituições extra-territoriais</v>
      </c>
    </row>
  </sheetData>
  <sheetProtection/>
  <hyperlinks>
    <hyperlink ref="B3" r:id="rId1" display="http://www.ine.p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Fernanda Teixeira</cp:lastModifiedBy>
  <dcterms:created xsi:type="dcterms:W3CDTF">2011-06-29T18:11:44Z</dcterms:created>
  <dcterms:modified xsi:type="dcterms:W3CDTF">2011-06-29T18:11:44Z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