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75" windowHeight="11190" activeTab="0"/>
  </bookViews>
  <sheets>
    <sheet name="Tabela_11_6_29_18_56_44_996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<sst xmlns="http://schemas.openxmlformats.org/spreadsheetml/2006/main" count="9" uniqueCount="9">
  <si>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Versão:</t>
  </si>
  <si>
    <t>V02014</t>
  </si>
  <si>
    <t>Classificação portuguesa das profissões, 2010</t>
  </si>
  <si>
    <t>Data de execução:</t>
  </si>
  <si>
    <t>Nível</t>
  </si>
  <si>
    <t>Código</t>
  </si>
  <si>
    <t>Designação</t>
  </si>
  <si>
    <t xml:space="preserve">Fonte: </t>
  </si>
  <si>
    <t>http://www.ine.pt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</si>
</sst>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9"/>
      <color theme="1"/>
      <name val="Trebuchet MS"/>
      <family val="2"/>
    </font>
    <font>
      <sz val="9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9"/>
      <color indexed="17"/>
      <name val="Trebuchet MS"/>
      <family val="2"/>
    </font>
    <font>
      <sz val="9"/>
      <color indexed="20"/>
      <name val="Trebuchet MS"/>
      <family val="2"/>
    </font>
    <font>
      <sz val="9"/>
      <color indexed="60"/>
      <name val="Trebuchet MS"/>
      <family val="2"/>
    </font>
    <font>
      <sz val="9"/>
      <color indexed="62"/>
      <name val="Trebuchet MS"/>
      <family val="2"/>
    </font>
    <font>
      <b/>
      <sz val="9"/>
      <color indexed="63"/>
      <name val="Trebuchet MS"/>
      <family val="2"/>
    </font>
    <font>
      <b/>
      <sz val="9"/>
      <color indexed="52"/>
      <name val="Trebuchet MS"/>
      <family val="2"/>
    </font>
    <font>
      <sz val="9"/>
      <color indexed="52"/>
      <name val="Trebuchet MS"/>
      <family val="2"/>
    </font>
    <font>
      <b/>
      <sz val="9"/>
      <color indexed="9"/>
      <name val="Trebuchet MS"/>
      <family val="2"/>
    </font>
    <font>
      <sz val="9"/>
      <color indexed="10"/>
      <name val="Trebuchet MS"/>
      <family val="2"/>
    </font>
    <font>
      <i/>
      <sz val="9"/>
      <color indexed="23"/>
      <name val="Trebuchet MS"/>
      <family val="2"/>
    </font>
    <font>
      <b/>
      <sz val="9"/>
      <color indexed="8"/>
      <name val="Trebuchet MS"/>
      <family val="2"/>
    </font>
    <font>
      <sz val="9"/>
      <color indexed="9"/>
      <name val="Trebuchet MS"/>
      <family val="2"/>
    </font>
    <font>
      <u val="single"/>
      <sz val="9"/>
      <color indexed="12"/>
      <name val="Trebuchet MS"/>
      <family val="2"/>
    </font>
    <font>
      <sz val="9"/>
      <color theme="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9"/>
      <color rgb="FFFA7D00"/>
      <name val="Trebuchet MS"/>
      <family val="2"/>
    </font>
    <font>
      <sz val="9"/>
      <color rgb="FFFA7D00"/>
      <name val="Trebuchet MS"/>
      <family val="2"/>
    </font>
    <font>
      <sz val="9"/>
      <color rgb="FF006100"/>
      <name val="Trebuchet MS"/>
      <family val="2"/>
    </font>
    <font>
      <sz val="9"/>
      <color rgb="FF3F3F76"/>
      <name val="Trebuchet MS"/>
      <family val="2"/>
    </font>
    <font>
      <u val="single"/>
      <sz val="9"/>
      <color theme="10"/>
      <name val="Trebuchet MS"/>
      <family val="2"/>
    </font>
    <font>
      <sz val="9"/>
      <color rgb="FF9C0006"/>
      <name val="Trebuchet MS"/>
      <family val="2"/>
    </font>
    <font>
      <sz val="9"/>
      <color rgb="FF9C6500"/>
      <name val="Trebuchet MS"/>
      <family val="2"/>
    </font>
    <font>
      <b/>
      <sz val="9"/>
      <color rgb="FF3F3F3F"/>
      <name val="Trebuchet MS"/>
      <family val="2"/>
    </font>
    <font>
      <sz val="9"/>
      <color rgb="FFFF0000"/>
      <name val="Trebuchet MS"/>
      <family val="2"/>
    </font>
    <font>
      <i/>
      <sz val="9"/>
      <color rgb="FF7F7F7F"/>
      <name val="Trebuchet MS"/>
      <family val="2"/>
    </font>
    <font>
      <b/>
      <sz val="18"/>
      <color theme="3"/>
      <name val="Cambria"/>
      <family val="2"/>
    </font>
    <font>
      <b/>
      <sz val="9"/>
      <color theme="1"/>
      <name val="Trebuchet MS"/>
      <family val="2"/>
    </font>
    <font>
      <b/>
      <sz val="9"/>
      <color theme="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0" fillId="20" borderId="7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7" fillId="0" borderId="0" xfId="47" applyAlignment="1" applyProtection="1">
      <alignment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38"/>
  <sheetViews>
    <sheetView tabSelected="1" zoomScalePageLayoutView="0" workbookViewId="0" topLeftCell="A1">
      <selection activeCell="B12" sqref="B12"/>
    </sheetView>
  </sheetViews>
  <sheetFormatPr defaultColWidth="9.33203125" defaultRowHeight="15"/>
  <cols>
    <col min="2" max="2" width="11.16015625" style="0" customWidth="1"/>
    <col min="3" max="3" width="64.5" style="0" customWidth="1"/>
  </cols>
  <sheetData>
    <row r="1" spans="1:3" ht="15">
      <c r="A1" t="s">
        <v>0</v>
      </c>
      <c r="B1" t="s">
        <v>1</v>
      </c>
      <c r="C1" t="s">
        <v>2</v>
      </c>
    </row>
    <row r="2" spans="1:2" ht="15">
      <c r="A2" t="s">
        <v>3</v>
      </c>
      <c r="B2" s="1">
        <v>40723</v>
      </c>
    </row>
    <row r="3" spans="1:2" ht="15">
      <c r="A3" t="s">
        <v>7</v>
      </c>
      <c r="B3" s="2" t="s">
        <v>8</v>
      </c>
    </row>
    <row r="4" ht="15">
      <c r="B4" s="2"/>
    </row>
    <row r="5" spans="1:3" ht="15">
      <c r="A5" t="s">
        <v>4</v>
      </c>
      <c r="B5" t="s">
        <v>5</v>
      </c>
      <c r="C5" t="s">
        <v>6</v>
      </c>
    </row>
    <row r="6" spans="1:3" ht="15">
      <c r="A6">
        <v>1</v>
      </c>
      <c r="B6" t="str">
        <f>"0"</f>
        <v>0</v>
      </c>
      <c r="C6" t="str">
        <f>"Profissões das Forças Armadas"</f>
        <v>Profissões das Forças Armadas</v>
      </c>
    </row>
    <row r="7" spans="1:3" ht="15">
      <c r="A7">
        <v>2</v>
      </c>
      <c r="B7" t="str">
        <f>"01"</f>
        <v>01</v>
      </c>
      <c r="C7" t="str">
        <f>"Oficiais das Forças Armadas"</f>
        <v>Oficiais das Forças Armadas</v>
      </c>
    </row>
    <row r="8" spans="1:3" ht="15">
      <c r="A8">
        <v>3</v>
      </c>
      <c r="B8" t="str">
        <f>"011"</f>
        <v>011</v>
      </c>
      <c r="C8" t="str">
        <f>"Oficiais das Forças Armadas"</f>
        <v>Oficiais das Forças Armadas</v>
      </c>
    </row>
    <row r="9" spans="1:3" ht="15">
      <c r="A9">
        <v>4</v>
      </c>
      <c r="B9" t="str">
        <f>"0111"</f>
        <v>0111</v>
      </c>
      <c r="C9" t="str">
        <f>"Oficiais da Marinha (NE)"</f>
        <v>Oficiais da Marinha (NE)</v>
      </c>
    </row>
    <row r="10" spans="1:3" ht="15">
      <c r="A10">
        <v>5</v>
      </c>
      <c r="B10" t="str">
        <f>"0111.1"</f>
        <v>0111.1</v>
      </c>
      <c r="C10" t="str">
        <f>"Oficial de Marinha"</f>
        <v>Oficial de Marinha</v>
      </c>
    </row>
    <row r="11" spans="1:3" ht="15">
      <c r="A11">
        <v>5</v>
      </c>
      <c r="B11" t="str">
        <f>"0111.2"</f>
        <v>0111.2</v>
      </c>
      <c r="C11" t="str">
        <f>"Oficial de administração naval"</f>
        <v>Oficial de administração naval</v>
      </c>
    </row>
    <row r="12" spans="1:3" ht="15">
      <c r="A12">
        <v>5</v>
      </c>
      <c r="B12" t="str">
        <f>"0111.3"</f>
        <v>0111.3</v>
      </c>
      <c r="C12" t="str">
        <f>"Oficial engenheiro naval"</f>
        <v>Oficial engenheiro naval</v>
      </c>
    </row>
    <row r="13" spans="1:3" ht="15">
      <c r="A13">
        <v>5</v>
      </c>
      <c r="B13" t="str">
        <f>"0111.4"</f>
        <v>0111.4</v>
      </c>
      <c r="C13" t="str">
        <f>"Oficial fuzileiro "</f>
        <v>Oficial fuzileiro </v>
      </c>
    </row>
    <row r="14" spans="1:3" ht="15">
      <c r="A14">
        <v>5</v>
      </c>
      <c r="B14" t="str">
        <f>"0111.5"</f>
        <v>0111.5</v>
      </c>
      <c r="C14" t="str">
        <f>"Outros oficiais da Marinha e equiparados"</f>
        <v>Outros oficiais da Marinha e equiparados</v>
      </c>
    </row>
    <row r="15" spans="1:3" ht="15">
      <c r="A15">
        <v>4</v>
      </c>
      <c r="B15" t="str">
        <f>"0112"</f>
        <v>0112</v>
      </c>
      <c r="C15" t="str">
        <f>"Oficiais do Exército (NE)"</f>
        <v>Oficiais do Exército (NE)</v>
      </c>
    </row>
    <row r="16" spans="1:3" ht="15">
      <c r="A16">
        <v>5</v>
      </c>
      <c r="B16" t="str">
        <f>"0112.1"</f>
        <v>0112.1</v>
      </c>
      <c r="C16" t="str">
        <f>"Oficial de infantaria"</f>
        <v>Oficial de infantaria</v>
      </c>
    </row>
    <row r="17" spans="1:3" ht="15">
      <c r="A17">
        <v>5</v>
      </c>
      <c r="B17" t="str">
        <f>"0112.2"</f>
        <v>0112.2</v>
      </c>
      <c r="C17" t="str">
        <f>"Oficial de artilharia"</f>
        <v>Oficial de artilharia</v>
      </c>
    </row>
    <row r="18" spans="1:3" ht="15">
      <c r="A18">
        <v>5</v>
      </c>
      <c r="B18" t="str">
        <f>"0112.3"</f>
        <v>0112.3</v>
      </c>
      <c r="C18" t="str">
        <f>"Oficial de cavalaria"</f>
        <v>Oficial de cavalaria</v>
      </c>
    </row>
    <row r="19" spans="1:3" ht="15">
      <c r="A19">
        <v>5</v>
      </c>
      <c r="B19" t="str">
        <f>"0112.4"</f>
        <v>0112.4</v>
      </c>
      <c r="C19" t="str">
        <f>"Oficial de transmissões (Exército)"</f>
        <v>Oficial de transmissões (Exército)</v>
      </c>
    </row>
    <row r="20" spans="1:3" ht="15">
      <c r="A20">
        <v>5</v>
      </c>
      <c r="B20" t="str">
        <f>"0112.5"</f>
        <v>0112.5</v>
      </c>
      <c r="C20" t="str">
        <f>"Oficial de engenharia militar"</f>
        <v>Oficial de engenharia militar</v>
      </c>
    </row>
    <row r="21" spans="1:3" ht="15">
      <c r="A21">
        <v>5</v>
      </c>
      <c r="B21" t="str">
        <f>"0112.6"</f>
        <v>0112.6</v>
      </c>
      <c r="C21" t="str">
        <f>"Oficial de material militar (Exército)"</f>
        <v>Oficial de material militar (Exército)</v>
      </c>
    </row>
    <row r="22" spans="1:3" ht="15">
      <c r="A22">
        <v>5</v>
      </c>
      <c r="B22" t="str">
        <f>"0112.7"</f>
        <v>0112.7</v>
      </c>
      <c r="C22" t="str">
        <f>"Oficial de administração militar (Exército)"</f>
        <v>Oficial de administração militar (Exército)</v>
      </c>
    </row>
    <row r="23" spans="1:3" ht="15">
      <c r="A23">
        <v>5</v>
      </c>
      <c r="B23" t="str">
        <f>"0112.8"</f>
        <v>0112.8</v>
      </c>
      <c r="C23" t="str">
        <f>"Outros oficiais do Exército"</f>
        <v>Outros oficiais do Exército</v>
      </c>
    </row>
    <row r="24" spans="1:3" ht="15">
      <c r="A24">
        <v>4</v>
      </c>
      <c r="B24" t="str">
        <f>"0113"</f>
        <v>0113</v>
      </c>
      <c r="C24" t="str">
        <f>"Oficiais da Força Aérea (NE)"</f>
        <v>Oficiais da Força Aérea (NE)</v>
      </c>
    </row>
    <row r="25" spans="1:3" ht="15">
      <c r="A25">
        <v>5</v>
      </c>
      <c r="B25" t="str">
        <f>"0113.1"</f>
        <v>0113.1</v>
      </c>
      <c r="C25" t="str">
        <f>"Oficial piloto aviador"</f>
        <v>Oficial piloto aviador</v>
      </c>
    </row>
    <row r="26" spans="1:3" ht="15">
      <c r="A26">
        <v>5</v>
      </c>
      <c r="B26" t="str">
        <f>"0113.2"</f>
        <v>0113.2</v>
      </c>
      <c r="C26" t="str">
        <f>"Oficial da área de operações aéreas "</f>
        <v>Oficial da área de operações aéreas </v>
      </c>
    </row>
    <row r="27" spans="1:3" ht="15">
      <c r="A27">
        <v>5</v>
      </c>
      <c r="B27" t="str">
        <f>"0113.3"</f>
        <v>0113.3</v>
      </c>
      <c r="C27" t="str">
        <f>"Oficial da Força Aérea da área de manutenção de sistemas de armas "</f>
        <v>Oficial da Força Aérea da área de manutenção de sistemas de armas </v>
      </c>
    </row>
    <row r="28" spans="1:3" ht="15">
      <c r="A28">
        <v>5</v>
      </c>
      <c r="B28" t="str">
        <f>"0113.4"</f>
        <v>0113.4</v>
      </c>
      <c r="C28" t="str">
        <f>"Oficial da Polícia Aérea"</f>
        <v>Oficial da Polícia Aérea</v>
      </c>
    </row>
    <row r="29" spans="1:3" ht="15">
      <c r="A29">
        <v>5</v>
      </c>
      <c r="B29" t="str">
        <f>"0113.5"</f>
        <v>0113.5</v>
      </c>
      <c r="C29" t="str">
        <f>"Outros oficiais da Força Aérea"</f>
        <v>Outros oficiais da Força Aérea</v>
      </c>
    </row>
    <row r="30" spans="1:3" ht="15">
      <c r="A30">
        <v>2</v>
      </c>
      <c r="B30" t="str">
        <f>"02"</f>
        <v>02</v>
      </c>
      <c r="C30" t="str">
        <f>"Sargentos das Forças Armadas"</f>
        <v>Sargentos das Forças Armadas</v>
      </c>
    </row>
    <row r="31" spans="1:3" ht="15">
      <c r="A31">
        <v>3</v>
      </c>
      <c r="B31" t="str">
        <f>"021"</f>
        <v>021</v>
      </c>
      <c r="C31" t="str">
        <f>"Sargentos das Forças Armadas"</f>
        <v>Sargentos das Forças Armadas</v>
      </c>
    </row>
    <row r="32" spans="1:3" ht="15">
      <c r="A32">
        <v>4</v>
      </c>
      <c r="B32" t="str">
        <f>"0211"</f>
        <v>0211</v>
      </c>
      <c r="C32" t="str">
        <f>"Sargentos da Marinha (NE)"</f>
        <v>Sargentos da Marinha (NE)</v>
      </c>
    </row>
    <row r="33" spans="1:3" ht="15">
      <c r="A33">
        <v>5</v>
      </c>
      <c r="B33" t="str">
        <f>"0211.1"</f>
        <v>0211.1</v>
      </c>
      <c r="C33" t="str">
        <f>"Sargento de comunicações (Marinha)"</f>
        <v>Sargento de comunicações (Marinha)</v>
      </c>
    </row>
    <row r="34" spans="1:3" ht="15">
      <c r="A34">
        <v>5</v>
      </c>
      <c r="B34" t="str">
        <f>"0211.2"</f>
        <v>0211.2</v>
      </c>
      <c r="C34" t="str">
        <f>"Sargento fuzileiro"</f>
        <v>Sargento fuzileiro</v>
      </c>
    </row>
    <row r="35" spans="1:3" ht="15">
      <c r="A35">
        <v>5</v>
      </c>
      <c r="B35" t="str">
        <f>"0211.3"</f>
        <v>0211.3</v>
      </c>
      <c r="C35" t="str">
        <f>"Sargento mergulhador"</f>
        <v>Sargento mergulhador</v>
      </c>
    </row>
    <row r="36" spans="1:3" ht="15">
      <c r="A36">
        <v>5</v>
      </c>
      <c r="B36" t="str">
        <f>"0211.4"</f>
        <v>0211.4</v>
      </c>
      <c r="C36" t="str">
        <f>"Sargento de operações (Marinha)"</f>
        <v>Sargento de operações (Marinha)</v>
      </c>
    </row>
    <row r="37" spans="1:3" ht="15">
      <c r="A37">
        <v>5</v>
      </c>
      <c r="B37" t="str">
        <f>"0211.5"</f>
        <v>0211.5</v>
      </c>
      <c r="C37" t="str">
        <f>"Sargento de manobra e serviços (Marinha)"</f>
        <v>Sargento de manobra e serviços (Marinha)</v>
      </c>
    </row>
    <row r="38" spans="1:3" ht="15">
      <c r="A38">
        <v>5</v>
      </c>
      <c r="B38" t="str">
        <f>"0211.6"</f>
        <v>0211.6</v>
      </c>
      <c r="C38" t="str">
        <f>"Sargento técnico de armamento (Marinha)"</f>
        <v>Sargento técnico de armamento (Marinha)</v>
      </c>
    </row>
    <row r="39" spans="1:3" ht="15">
      <c r="A39">
        <v>5</v>
      </c>
      <c r="B39" t="str">
        <f>"0211.7"</f>
        <v>0211.7</v>
      </c>
      <c r="C39" t="str">
        <f>"Outros sargentos de Marinha e equiparados"</f>
        <v>Outros sargentos de Marinha e equiparados</v>
      </c>
    </row>
    <row r="40" spans="1:3" ht="15">
      <c r="A40">
        <v>4</v>
      </c>
      <c r="B40" t="str">
        <f>"0212"</f>
        <v>0212</v>
      </c>
      <c r="C40" t="str">
        <f>"Sargentos do Exército (NE)"</f>
        <v>Sargentos do Exército (NE)</v>
      </c>
    </row>
    <row r="41" spans="1:3" ht="15">
      <c r="A41">
        <v>5</v>
      </c>
      <c r="B41" t="str">
        <f>"0212.1"</f>
        <v>0212.1</v>
      </c>
      <c r="C41" t="str">
        <f>"Sargento de infantaria"</f>
        <v>Sargento de infantaria</v>
      </c>
    </row>
    <row r="42" spans="1:3" ht="15">
      <c r="A42">
        <v>5</v>
      </c>
      <c r="B42" t="str">
        <f>"0212.2"</f>
        <v>0212.2</v>
      </c>
      <c r="C42" t="str">
        <f>"Sargento de artilharia"</f>
        <v>Sargento de artilharia</v>
      </c>
    </row>
    <row r="43" spans="1:3" ht="15">
      <c r="A43">
        <v>5</v>
      </c>
      <c r="B43" t="str">
        <f>"0212.3"</f>
        <v>0212.3</v>
      </c>
      <c r="C43" t="str">
        <f>"Sargento de cavalaria"</f>
        <v>Sargento de cavalaria</v>
      </c>
    </row>
    <row r="44" spans="1:3" ht="15">
      <c r="A44">
        <v>5</v>
      </c>
      <c r="B44" t="str">
        <f>"0212.4"</f>
        <v>0212.4</v>
      </c>
      <c r="C44" t="str">
        <f>"Sargento de transmissões (Exército)"</f>
        <v>Sargento de transmissões (Exército)</v>
      </c>
    </row>
    <row r="45" spans="1:3" ht="15">
      <c r="A45">
        <v>5</v>
      </c>
      <c r="B45" t="str">
        <f>"0212.5"</f>
        <v>0212.5</v>
      </c>
      <c r="C45" t="str">
        <f>"Sargento de engenharia militar"</f>
        <v>Sargento de engenharia militar</v>
      </c>
    </row>
    <row r="46" spans="1:3" ht="15">
      <c r="A46">
        <v>5</v>
      </c>
      <c r="B46" t="str">
        <f>"0212.6"</f>
        <v>0212.6</v>
      </c>
      <c r="C46" t="str">
        <f>"Sargento de material militar (Exército)"</f>
        <v>Sargento de material militar (Exército)</v>
      </c>
    </row>
    <row r="47" spans="1:3" ht="15">
      <c r="A47">
        <v>5</v>
      </c>
      <c r="B47" t="str">
        <f>"0212.7"</f>
        <v>0212.7</v>
      </c>
      <c r="C47" t="str">
        <f>"Sargento de administração militar (Exército)"</f>
        <v>Sargento de administração militar (Exército)</v>
      </c>
    </row>
    <row r="48" spans="1:3" ht="15">
      <c r="A48">
        <v>5</v>
      </c>
      <c r="B48" t="str">
        <f>"0212.8"</f>
        <v>0212.8</v>
      </c>
      <c r="C48" t="str">
        <f>"Outros sargentos do Exército"</f>
        <v>Outros sargentos do Exército</v>
      </c>
    </row>
    <row r="49" spans="1:3" ht="15">
      <c r="A49">
        <v>4</v>
      </c>
      <c r="B49" t="str">
        <f>"0213"</f>
        <v>0213</v>
      </c>
      <c r="C49" t="str">
        <f>"Sargentos da Força Aérea (NE)"</f>
        <v>Sargentos da Força Aérea (NE)</v>
      </c>
    </row>
    <row r="50" spans="1:3" ht="15">
      <c r="A50">
        <v>5</v>
      </c>
      <c r="B50" t="str">
        <f>"0213.1"</f>
        <v>0213.1</v>
      </c>
      <c r="C50" t="str">
        <f>"Sargento da área de operações aéreas"</f>
        <v>Sargento da área de operações aéreas</v>
      </c>
    </row>
    <row r="51" spans="1:3" ht="15">
      <c r="A51">
        <v>5</v>
      </c>
      <c r="B51" t="str">
        <f>"0213.2"</f>
        <v>0213.2</v>
      </c>
      <c r="C51" t="str">
        <f>"Sargento da Força Aérea da área de manutenção de sistemas de armas"</f>
        <v>Sargento da Força Aérea da área de manutenção de sistemas de armas</v>
      </c>
    </row>
    <row r="52" spans="1:3" ht="15">
      <c r="A52">
        <v>5</v>
      </c>
      <c r="B52" t="str">
        <f>"0213.3"</f>
        <v>0213.3</v>
      </c>
      <c r="C52" t="str">
        <f>"Sargento de Polícia Aérea"</f>
        <v>Sargento de Polícia Aérea</v>
      </c>
    </row>
    <row r="53" spans="1:3" ht="15">
      <c r="A53">
        <v>5</v>
      </c>
      <c r="B53" t="str">
        <f>"0213.4"</f>
        <v>0213.4</v>
      </c>
      <c r="C53" t="str">
        <f>"Outros sargentos da Força Aérea"</f>
        <v>Outros sargentos da Força Aérea</v>
      </c>
    </row>
    <row r="54" spans="1:3" ht="15">
      <c r="A54">
        <v>2</v>
      </c>
      <c r="B54" t="str">
        <f>"03"</f>
        <v>03</v>
      </c>
      <c r="C54" t="str">
        <f>"Outro pessoal das Forças Armadas"</f>
        <v>Outro pessoal das Forças Armadas</v>
      </c>
    </row>
    <row r="55" spans="1:3" ht="15">
      <c r="A55">
        <v>3</v>
      </c>
      <c r="B55" t="str">
        <f>"031"</f>
        <v>031</v>
      </c>
      <c r="C55" t="str">
        <f>"Outro pessoal das Forças Armadas"</f>
        <v>Outro pessoal das Forças Armadas</v>
      </c>
    </row>
    <row r="56" spans="1:3" ht="15">
      <c r="A56">
        <v>4</v>
      </c>
      <c r="B56" t="str">
        <f>"0311"</f>
        <v>0311</v>
      </c>
      <c r="C56" t="str">
        <f>"Praças da Marinha (NE)"</f>
        <v>Praças da Marinha (NE)</v>
      </c>
    </row>
    <row r="57" spans="1:3" ht="15">
      <c r="A57">
        <v>5</v>
      </c>
      <c r="B57" t="str">
        <f>"0311.1"</f>
        <v>0311.1</v>
      </c>
      <c r="C57" t="str">
        <f>"Praça de comunicações (Marinha)"</f>
        <v>Praça de comunicações (Marinha)</v>
      </c>
    </row>
    <row r="58" spans="1:3" ht="15">
      <c r="A58">
        <v>5</v>
      </c>
      <c r="B58" t="str">
        <f>"0311.2"</f>
        <v>0311.2</v>
      </c>
      <c r="C58" t="str">
        <f>"Praça fuzileiro"</f>
        <v>Praça fuzileiro</v>
      </c>
    </row>
    <row r="59" spans="1:3" ht="15">
      <c r="A59">
        <v>5</v>
      </c>
      <c r="B59" t="str">
        <f>"0311.3"</f>
        <v>0311.3</v>
      </c>
      <c r="C59" t="str">
        <f>"Praça mergulhador"</f>
        <v>Praça mergulhador</v>
      </c>
    </row>
    <row r="60" spans="1:3" ht="15">
      <c r="A60">
        <v>5</v>
      </c>
      <c r="B60" t="str">
        <f>"0311.4"</f>
        <v>0311.4</v>
      </c>
      <c r="C60" t="str">
        <f>"Praça de operações (Marinha)"</f>
        <v>Praça de operações (Marinha)</v>
      </c>
    </row>
    <row r="61" spans="1:3" ht="15">
      <c r="A61">
        <v>5</v>
      </c>
      <c r="B61" t="str">
        <f>"0311.5"</f>
        <v>0311.5</v>
      </c>
      <c r="C61" t="str">
        <f>"Praça de manobra e serviços (Marinha)"</f>
        <v>Praça de manobra e serviços (Marinha)</v>
      </c>
    </row>
    <row r="62" spans="1:3" ht="15">
      <c r="A62">
        <v>5</v>
      </c>
      <c r="B62" t="str">
        <f>"0311.6"</f>
        <v>0311.6</v>
      </c>
      <c r="C62" t="str">
        <f>"Praça técnico de armamento (Marinha)"</f>
        <v>Praça técnico de armamento (Marinha)</v>
      </c>
    </row>
    <row r="63" spans="1:3" ht="15">
      <c r="A63">
        <v>5</v>
      </c>
      <c r="B63" t="str">
        <f>"0311.7"</f>
        <v>0311.7</v>
      </c>
      <c r="C63" t="str">
        <f>"Outras praças da Marinha e equiparados"</f>
        <v>Outras praças da Marinha e equiparados</v>
      </c>
    </row>
    <row r="64" spans="1:3" ht="15">
      <c r="A64">
        <v>4</v>
      </c>
      <c r="B64" t="str">
        <f>"0312"</f>
        <v>0312</v>
      </c>
      <c r="C64" t="str">
        <f>"Praças do Exército (NE)"</f>
        <v>Praças do Exército (NE)</v>
      </c>
    </row>
    <row r="65" spans="1:3" ht="15">
      <c r="A65">
        <v>5</v>
      </c>
      <c r="B65" t="str">
        <f>"0312.1"</f>
        <v>0312.1</v>
      </c>
      <c r="C65" t="str">
        <f>"Praça de infantaria"</f>
        <v>Praça de infantaria</v>
      </c>
    </row>
    <row r="66" spans="1:3" ht="15">
      <c r="A66">
        <v>5</v>
      </c>
      <c r="B66" t="str">
        <f>"0312.2"</f>
        <v>0312.2</v>
      </c>
      <c r="C66" t="str">
        <f>"Praça de artilharia"</f>
        <v>Praça de artilharia</v>
      </c>
    </row>
    <row r="67" spans="1:3" ht="15">
      <c r="A67">
        <v>5</v>
      </c>
      <c r="B67" t="str">
        <f>"0312.3"</f>
        <v>0312.3</v>
      </c>
      <c r="C67" t="str">
        <f>"Praça de cavalaria"</f>
        <v>Praça de cavalaria</v>
      </c>
    </row>
    <row r="68" spans="1:3" ht="15">
      <c r="A68">
        <v>5</v>
      </c>
      <c r="B68" t="str">
        <f>"0312.4"</f>
        <v>0312.4</v>
      </c>
      <c r="C68" t="str">
        <f>"Praça de transmissões (Exército)"</f>
        <v>Praça de transmissões (Exército)</v>
      </c>
    </row>
    <row r="69" spans="1:3" ht="15">
      <c r="A69">
        <v>5</v>
      </c>
      <c r="B69" t="str">
        <f>"0312.5"</f>
        <v>0312.5</v>
      </c>
      <c r="C69" t="str">
        <f>"Praça de engenharia militar "</f>
        <v>Praça de engenharia militar </v>
      </c>
    </row>
    <row r="70" spans="1:3" ht="15">
      <c r="A70">
        <v>5</v>
      </c>
      <c r="B70" t="str">
        <f>"0312.6"</f>
        <v>0312.6</v>
      </c>
      <c r="C70" t="str">
        <f>"Praça de material militar (Exército)"</f>
        <v>Praça de material militar (Exército)</v>
      </c>
    </row>
    <row r="71" spans="1:3" ht="15">
      <c r="A71">
        <v>5</v>
      </c>
      <c r="B71" t="str">
        <f>"0312.7"</f>
        <v>0312.7</v>
      </c>
      <c r="C71" t="str">
        <f>"Outras praças do Exército"</f>
        <v>Outras praças do Exército</v>
      </c>
    </row>
    <row r="72" spans="1:3" ht="15">
      <c r="A72">
        <v>4</v>
      </c>
      <c r="B72" t="str">
        <f>"0313"</f>
        <v>0313</v>
      </c>
      <c r="C72" t="str">
        <f>"Praças da Força Aérea (NE)"</f>
        <v>Praças da Força Aérea (NE)</v>
      </c>
    </row>
    <row r="73" spans="1:3" ht="15">
      <c r="A73">
        <v>5</v>
      </c>
      <c r="B73" t="str">
        <f>"0313.1"</f>
        <v>0313.1</v>
      </c>
      <c r="C73" t="str">
        <f>"Praça da área de operações aéreas"</f>
        <v>Praça da área de operações aéreas</v>
      </c>
    </row>
    <row r="74" spans="1:3" ht="15">
      <c r="A74">
        <v>5</v>
      </c>
      <c r="B74" t="str">
        <f>"0313.2"</f>
        <v>0313.2</v>
      </c>
      <c r="C74" t="str">
        <f>"Praça da Força Aérea da área de manutenção de sistemas de armas"</f>
        <v>Praça da Força Aérea da área de manutenção de sistemas de armas</v>
      </c>
    </row>
    <row r="75" spans="1:3" ht="15">
      <c r="A75">
        <v>5</v>
      </c>
      <c r="B75" t="str">
        <f>"0313.3"</f>
        <v>0313.3</v>
      </c>
      <c r="C75" t="str">
        <f>"Praça da Polícia Aérea"</f>
        <v>Praça da Polícia Aérea</v>
      </c>
    </row>
    <row r="76" spans="1:3" ht="15">
      <c r="A76">
        <v>5</v>
      </c>
      <c r="B76" t="str">
        <f>"0313.4"</f>
        <v>0313.4</v>
      </c>
      <c r="C76" t="str">
        <f>"Outras praças da Força Aérea"</f>
        <v>Outras praças da Força Aérea</v>
      </c>
    </row>
    <row r="77" spans="1:3" ht="15">
      <c r="A77">
        <v>1</v>
      </c>
      <c r="B77" t="str">
        <f>"1"</f>
        <v>1</v>
      </c>
      <c r="C77" t="str">
        <f>"Representantes do poder legislativo e de órgãos executivos, dirigentes, directores e gestores executivos"</f>
        <v>Representantes do poder legislativo e de órgãos executivos, dirigentes, directores e gestores executivos</v>
      </c>
    </row>
    <row r="78" spans="1:3" ht="15">
      <c r="A78">
        <v>2</v>
      </c>
      <c r="B78" t="str">
        <f>"11"</f>
        <v>11</v>
      </c>
      <c r="C78" t="str">
        <f>"Representantes do poder legislativo e de órgãos executivos, dirigentes superiores da Administração Pública, de organizações especializadas, directores e gestores de empresas"</f>
        <v>Representantes do poder legislativo e de órgãos executivos, dirigentes superiores da Administração Pública, de organizações especializadas, directores e gestores de empresas</v>
      </c>
    </row>
    <row r="79" spans="1:3" ht="15">
      <c r="A79">
        <v>3</v>
      </c>
      <c r="B79" t="str">
        <f>"111"</f>
        <v>111</v>
      </c>
      <c r="C79" t="str">
        <f>"Representantes do poder legislativo e de órgãos executivos, dirigentes superiores da Administração Pública e de organizações especializadas"</f>
        <v>Representantes do poder legislativo e de órgãos executivos, dirigentes superiores da Administração Pública e de organizações especializadas</v>
      </c>
    </row>
    <row r="80" spans="1:3" ht="15">
      <c r="A80">
        <v>4</v>
      </c>
      <c r="B80" t="str">
        <f>"1111"</f>
        <v>1111</v>
      </c>
      <c r="C80" t="str">
        <f>"Representantes do poder legislativo e de órgãos executivos "</f>
        <v>Representantes do poder legislativo e de órgãos executivos </v>
      </c>
    </row>
    <row r="81" spans="1:3" ht="15">
      <c r="A81">
        <v>5</v>
      </c>
      <c r="B81" t="str">
        <f>"1111.0"</f>
        <v>1111.0</v>
      </c>
      <c r="C81" t="str">
        <f>"Representantes do poder legislativo e de órgãos executivos "</f>
        <v>Representantes do poder legislativo e de órgãos executivos </v>
      </c>
    </row>
    <row r="82" spans="1:3" ht="15">
      <c r="A82">
        <v>4</v>
      </c>
      <c r="B82" t="str">
        <f>"1112"</f>
        <v>1112</v>
      </c>
      <c r="C82" t="str">
        <f>"Dirigente superior da Administração Pública"</f>
        <v>Dirigente superior da Administração Pública</v>
      </c>
    </row>
    <row r="83" spans="1:3" ht="15">
      <c r="A83">
        <v>5</v>
      </c>
      <c r="B83" t="str">
        <f>"1112.0"</f>
        <v>1112.0</v>
      </c>
      <c r="C83" t="str">
        <f>"Dirigente superior da Administração Pública"</f>
        <v>Dirigente superior da Administração Pública</v>
      </c>
    </row>
    <row r="84" spans="1:3" ht="15">
      <c r="A84">
        <v>4</v>
      </c>
      <c r="B84" t="str">
        <f>"1113"</f>
        <v>1113</v>
      </c>
      <c r="C84" t="str">
        <f>"Chefe tradicional e chefe de aldeia"</f>
        <v>Chefe tradicional e chefe de aldeia</v>
      </c>
    </row>
    <row r="85" spans="1:3" ht="15">
      <c r="A85">
        <v>5</v>
      </c>
      <c r="B85" t="str">
        <f>"1113.0"</f>
        <v>1113.0</v>
      </c>
      <c r="C85" t="str">
        <f>"Chefe tradicional e chefe de aldeia "</f>
        <v>Chefe tradicional e chefe de aldeia </v>
      </c>
    </row>
    <row r="86" spans="1:3" ht="15">
      <c r="A86">
        <v>4</v>
      </c>
      <c r="B86" t="str">
        <f>"1114"</f>
        <v>1114</v>
      </c>
      <c r="C86" t="str">
        <f>"Dirigente de organizações de interesse especial "</f>
        <v>Dirigente de organizações de interesse especial </v>
      </c>
    </row>
    <row r="87" spans="1:3" ht="15">
      <c r="A87">
        <v>5</v>
      </c>
      <c r="B87" t="str">
        <f>"1114.0"</f>
        <v>1114.0</v>
      </c>
      <c r="C87" t="str">
        <f>"Dirigente de organizações de interesse especial "</f>
        <v>Dirigente de organizações de interesse especial </v>
      </c>
    </row>
    <row r="88" spans="1:3" ht="15">
      <c r="A88">
        <v>3</v>
      </c>
      <c r="B88" t="str">
        <f>"112"</f>
        <v>112</v>
      </c>
      <c r="C88" t="str">
        <f>"Director geral e gestor executivo, de empresas "</f>
        <v>Director geral e gestor executivo, de empresas </v>
      </c>
    </row>
    <row r="89" spans="1:3" ht="15">
      <c r="A89">
        <v>4</v>
      </c>
      <c r="B89" t="str">
        <f>"1120"</f>
        <v>1120</v>
      </c>
      <c r="C89" t="str">
        <f>"Director geral e gestor executivo, de empresas "</f>
        <v>Director geral e gestor executivo, de empresas </v>
      </c>
    </row>
    <row r="90" spans="1:3" ht="15">
      <c r="A90">
        <v>5</v>
      </c>
      <c r="B90" t="str">
        <f>"1120.0"</f>
        <v>1120.0</v>
      </c>
      <c r="C90" t="str">
        <f>"Director geral e gestor executivo, de empresas "</f>
        <v>Director geral e gestor executivo, de empresas </v>
      </c>
    </row>
    <row r="91" spans="1:3" ht="15">
      <c r="A91">
        <v>2</v>
      </c>
      <c r="B91" t="str">
        <f>"12"</f>
        <v>12</v>
      </c>
      <c r="C91" t="str">
        <f>"Directores de serviços administrativos e comerciais"</f>
        <v>Directores de serviços administrativos e comerciais</v>
      </c>
    </row>
    <row r="92" spans="1:3" ht="15">
      <c r="A92">
        <v>3</v>
      </c>
      <c r="B92" t="str">
        <f>"121"</f>
        <v>121</v>
      </c>
      <c r="C92" t="str">
        <f>"Directores de serviços de negócios e de administração"</f>
        <v>Directores de serviços de negócios e de administração</v>
      </c>
    </row>
    <row r="93" spans="1:3" ht="15">
      <c r="A93">
        <v>4</v>
      </c>
      <c r="B93" t="str">
        <f>"1211"</f>
        <v>1211</v>
      </c>
      <c r="C93" t="str">
        <f>"Director financeiro"</f>
        <v>Director financeiro</v>
      </c>
    </row>
    <row r="94" spans="1:3" ht="15">
      <c r="A94">
        <v>5</v>
      </c>
      <c r="B94" t="str">
        <f>"1211.0"</f>
        <v>1211.0</v>
      </c>
      <c r="C94" t="str">
        <f>"Director financeiro"</f>
        <v>Director financeiro</v>
      </c>
    </row>
    <row r="95" spans="1:3" ht="15">
      <c r="A95">
        <v>4</v>
      </c>
      <c r="B95" t="str">
        <f>"1212"</f>
        <v>1212</v>
      </c>
      <c r="C95" t="str">
        <f>"Director de recursos humanos "</f>
        <v>Director de recursos humanos </v>
      </c>
    </row>
    <row r="96" spans="1:3" ht="15">
      <c r="A96">
        <v>5</v>
      </c>
      <c r="B96" t="str">
        <f>"1212.0"</f>
        <v>1212.0</v>
      </c>
      <c r="C96" t="str">
        <f>"Director de recursos humanos "</f>
        <v>Director de recursos humanos </v>
      </c>
    </row>
    <row r="97" spans="1:3" ht="15">
      <c r="A97">
        <v>4</v>
      </c>
      <c r="B97" t="str">
        <f>"1213"</f>
        <v>1213</v>
      </c>
      <c r="C97" t="str">
        <f>"Directores de estratégia e planeamento "</f>
        <v>Directores de estratégia e planeamento </v>
      </c>
    </row>
    <row r="98" spans="1:3" ht="15">
      <c r="A98">
        <v>5</v>
      </c>
      <c r="B98" t="str">
        <f>"1213.0"</f>
        <v>1213.0</v>
      </c>
      <c r="C98" t="str">
        <f>"Directores de estratégia e planeamento "</f>
        <v>Directores de estratégia e planeamento </v>
      </c>
    </row>
    <row r="99" spans="1:3" ht="15">
      <c r="A99">
        <v>4</v>
      </c>
      <c r="B99" t="str">
        <f>"1219"</f>
        <v>1219</v>
      </c>
      <c r="C99" t="str">
        <f>"Outros directores de serviços de negócios e de administração"</f>
        <v>Outros directores de serviços de negócios e de administração</v>
      </c>
    </row>
    <row r="100" spans="1:3" ht="15">
      <c r="A100">
        <v>5</v>
      </c>
      <c r="B100" t="str">
        <f>"1219.0"</f>
        <v>1219.0</v>
      </c>
      <c r="C100" t="str">
        <f>"Outros directores de serviços de negócios e de administração"</f>
        <v>Outros directores de serviços de negócios e de administração</v>
      </c>
    </row>
    <row r="101" spans="1:3" ht="15">
      <c r="A101">
        <v>3</v>
      </c>
      <c r="B101" t="str">
        <f>"122"</f>
        <v>122</v>
      </c>
      <c r="C101" t="str">
        <f>"Directores de vendas, marketing e de desenvolvimento de negócios "</f>
        <v>Directores de vendas, marketing e de desenvolvimento de negócios </v>
      </c>
    </row>
    <row r="102" spans="1:3" ht="15">
      <c r="A102">
        <v>4</v>
      </c>
      <c r="B102" t="str">
        <f>"1221"</f>
        <v>1221</v>
      </c>
      <c r="C102" t="str">
        <f>"Directores de vendas e marketing"</f>
        <v>Directores de vendas e marketing</v>
      </c>
    </row>
    <row r="103" spans="1:3" ht="15">
      <c r="A103">
        <v>5</v>
      </c>
      <c r="B103" t="str">
        <f>"1221.1"</f>
        <v>1221.1</v>
      </c>
      <c r="C103" t="str">
        <f>"Director de vendas "</f>
        <v>Director de vendas </v>
      </c>
    </row>
    <row r="104" spans="1:3" ht="15">
      <c r="A104">
        <v>5</v>
      </c>
      <c r="B104" t="str">
        <f>"1221.2"</f>
        <v>1221.2</v>
      </c>
      <c r="C104" t="str">
        <f>"Director de marketing"</f>
        <v>Director de marketing</v>
      </c>
    </row>
    <row r="105" spans="1:3" ht="15">
      <c r="A105">
        <v>4</v>
      </c>
      <c r="B105" t="str">
        <f>"1222"</f>
        <v>1222</v>
      </c>
      <c r="C105" t="str">
        <f>"Directores de publicidade e de relações públicas "</f>
        <v>Directores de publicidade e de relações públicas </v>
      </c>
    </row>
    <row r="106" spans="1:3" ht="15">
      <c r="A106">
        <v>5</v>
      </c>
      <c r="B106" t="str">
        <f>"1222.1"</f>
        <v>1222.1</v>
      </c>
      <c r="C106" t="str">
        <f>"Director de publicidade "</f>
        <v>Director de publicidade </v>
      </c>
    </row>
    <row r="107" spans="1:3" ht="15">
      <c r="A107">
        <v>5</v>
      </c>
      <c r="B107" t="str">
        <f>"1222.2"</f>
        <v>1222.2</v>
      </c>
      <c r="C107" t="str">
        <f>"Director de relações públicas"</f>
        <v>Director de relações públicas</v>
      </c>
    </row>
    <row r="108" spans="1:3" ht="15">
      <c r="A108">
        <v>4</v>
      </c>
      <c r="B108" t="str">
        <f>"1223"</f>
        <v>1223</v>
      </c>
      <c r="C108" t="str">
        <f>"Directores de investigação e desenvolvimento"</f>
        <v>Directores de investigação e desenvolvimento</v>
      </c>
    </row>
    <row r="109" spans="1:3" ht="15">
      <c r="A109">
        <v>5</v>
      </c>
      <c r="B109" t="str">
        <f>"1223.0"</f>
        <v>1223.0</v>
      </c>
      <c r="C109" t="str">
        <f>"Directores de investigação e desenvolvimento"</f>
        <v>Directores de investigação e desenvolvimento</v>
      </c>
    </row>
    <row r="110" spans="1:3" ht="15">
      <c r="A110">
        <v>2</v>
      </c>
      <c r="B110" t="str">
        <f>"13"</f>
        <v>13</v>
      </c>
      <c r="C110" t="str">
        <f>"Directores de produção e de serviços especializados"</f>
        <v>Directores de produção e de serviços especializados</v>
      </c>
    </row>
    <row r="111" spans="1:3" ht="15">
      <c r="A111">
        <v>3</v>
      </c>
      <c r="B111" t="str">
        <f>"131"</f>
        <v>131</v>
      </c>
      <c r="C111" t="str">
        <f>"Directores de produção na agricultura, produção animal, floresta e pesca"</f>
        <v>Directores de produção na agricultura, produção animal, floresta e pesca</v>
      </c>
    </row>
    <row r="112" spans="1:3" ht="15">
      <c r="A112">
        <v>4</v>
      </c>
      <c r="B112" t="str">
        <f>"1311"</f>
        <v>1311</v>
      </c>
      <c r="C112" t="str">
        <f>"Directores de produção na agricultura, produção animal e floresta"</f>
        <v>Directores de produção na agricultura, produção animal e floresta</v>
      </c>
    </row>
    <row r="113" spans="1:3" ht="15">
      <c r="A113">
        <v>5</v>
      </c>
      <c r="B113" t="str">
        <f>"1311.1"</f>
        <v>1311.1</v>
      </c>
      <c r="C113" t="str">
        <f>"Director de produção na agricultura"</f>
        <v>Director de produção na agricultura</v>
      </c>
    </row>
    <row r="114" spans="1:3" ht="15">
      <c r="A114">
        <v>5</v>
      </c>
      <c r="B114" t="str">
        <f>"1311.2"</f>
        <v>1311.2</v>
      </c>
      <c r="C114" t="str">
        <f>"Director de produção animal"</f>
        <v>Director de produção animal</v>
      </c>
    </row>
    <row r="115" spans="1:3" ht="15">
      <c r="A115">
        <v>5</v>
      </c>
      <c r="B115" t="str">
        <f>"1311.3"</f>
        <v>1311.3</v>
      </c>
      <c r="C115" t="str">
        <f>"Director de produção florestal"</f>
        <v>Director de produção florestal</v>
      </c>
    </row>
    <row r="116" spans="1:3" ht="15">
      <c r="A116">
        <v>4</v>
      </c>
      <c r="B116" t="str">
        <f>"1312"</f>
        <v>1312</v>
      </c>
      <c r="C116" t="str">
        <f>"Directores de produção na pesca e aquicultura"</f>
        <v>Directores de produção na pesca e aquicultura</v>
      </c>
    </row>
    <row r="117" spans="1:3" ht="15">
      <c r="A117">
        <v>5</v>
      </c>
      <c r="B117" t="str">
        <f>"1312.1"</f>
        <v>1312.1</v>
      </c>
      <c r="C117" t="str">
        <f>"Director de produção na pesca"</f>
        <v>Director de produção na pesca</v>
      </c>
    </row>
    <row r="118" spans="1:3" ht="15">
      <c r="A118">
        <v>5</v>
      </c>
      <c r="B118" t="str">
        <f>"1312.2"</f>
        <v>1312.2</v>
      </c>
      <c r="C118" t="str">
        <f>"Director de produção na aquicultura"</f>
        <v>Director de produção na aquicultura</v>
      </c>
    </row>
    <row r="119" spans="1:3" ht="15">
      <c r="A119">
        <v>3</v>
      </c>
      <c r="B119" t="str">
        <f>"132"</f>
        <v>132</v>
      </c>
      <c r="C119" t="str">
        <f>"Directores das indústrias transformadoras, extractivas, da construção, transportes e distribuição  "</f>
        <v>Directores das indústrias transformadoras, extractivas, da construção, transportes e distribuição  </v>
      </c>
    </row>
    <row r="120" spans="1:3" ht="15">
      <c r="A120">
        <v>4</v>
      </c>
      <c r="B120" t="str">
        <f>"1321"</f>
        <v>1321</v>
      </c>
      <c r="C120" t="str">
        <f>"Director das indústrias transformadoras"</f>
        <v>Director das indústrias transformadoras</v>
      </c>
    </row>
    <row r="121" spans="1:3" ht="15">
      <c r="A121">
        <v>5</v>
      </c>
      <c r="B121" t="str">
        <f>"1321.0"</f>
        <v>1321.0</v>
      </c>
      <c r="C121" t="str">
        <f>"Director das indústrias transformadoras"</f>
        <v>Director das indústrias transformadoras</v>
      </c>
    </row>
    <row r="122" spans="1:3" ht="15">
      <c r="A122">
        <v>4</v>
      </c>
      <c r="B122" t="str">
        <f>"1322"</f>
        <v>1322</v>
      </c>
      <c r="C122" t="str">
        <f>"Director das indústrias extractivas"</f>
        <v>Director das indústrias extractivas</v>
      </c>
    </row>
    <row r="123" spans="1:3" ht="15">
      <c r="A123">
        <v>5</v>
      </c>
      <c r="B123" t="str">
        <f>"1322.0"</f>
        <v>1322.0</v>
      </c>
      <c r="C123" t="str">
        <f>"Director das indústrias extractivas"</f>
        <v>Director das indústrias extractivas</v>
      </c>
    </row>
    <row r="124" spans="1:3" ht="15">
      <c r="A124">
        <v>4</v>
      </c>
      <c r="B124" t="str">
        <f>"1323"</f>
        <v>1323</v>
      </c>
      <c r="C124" t="str">
        <f>"Director das indústrias de construção e de engenharia civil"</f>
        <v>Director das indústrias de construção e de engenharia civil</v>
      </c>
    </row>
    <row r="125" spans="1:3" ht="15">
      <c r="A125">
        <v>5</v>
      </c>
      <c r="B125" t="str">
        <f>"1323.0"</f>
        <v>1323.0</v>
      </c>
      <c r="C125" t="str">
        <f>"Director das indústrias de construção e de engenharia civil"</f>
        <v>Director das indústrias de construção e de engenharia civil</v>
      </c>
    </row>
    <row r="126" spans="1:3" ht="15">
      <c r="A126">
        <v>4</v>
      </c>
      <c r="B126" t="str">
        <f>"1324"</f>
        <v>1324</v>
      </c>
      <c r="C126" t="str">
        <f>"Directores de compras, transportes, armazenagem, distribuição e relacionados"</f>
        <v>Directores de compras, transportes, armazenagem, distribuição e relacionados</v>
      </c>
    </row>
    <row r="127" spans="1:3" ht="15">
      <c r="A127">
        <v>5</v>
      </c>
      <c r="B127" t="str">
        <f>"1324.1"</f>
        <v>1324.1</v>
      </c>
      <c r="C127" t="str">
        <f>"Director de compras "</f>
        <v>Director de compras </v>
      </c>
    </row>
    <row r="128" spans="1:3" ht="15">
      <c r="A128">
        <v>5</v>
      </c>
      <c r="B128" t="str">
        <f>"1324.2"</f>
        <v>1324.2</v>
      </c>
      <c r="C128" t="str">
        <f>"Director de transportes"</f>
        <v>Director de transportes</v>
      </c>
    </row>
    <row r="129" spans="1:3" ht="15">
      <c r="A129">
        <v>5</v>
      </c>
      <c r="B129" t="str">
        <f>"1324.3"</f>
        <v>1324.3</v>
      </c>
      <c r="C129" t="str">
        <f>"Directores de armazenagem, distribuição e relacionados"</f>
        <v>Directores de armazenagem, distribuição e relacionados</v>
      </c>
    </row>
    <row r="130" spans="1:3" ht="15">
      <c r="A130">
        <v>3</v>
      </c>
      <c r="B130" t="str">
        <f>"133"</f>
        <v>133</v>
      </c>
      <c r="C130" t="str">
        <f>"Directores dos serviços das tecnologias da informação e comunicação (TIC)"</f>
        <v>Directores dos serviços das tecnologias da informação e comunicação (TIC)</v>
      </c>
    </row>
    <row r="131" spans="1:3" ht="15">
      <c r="A131">
        <v>4</v>
      </c>
      <c r="B131" t="str">
        <f>"1330"</f>
        <v>1330</v>
      </c>
      <c r="C131" t="str">
        <f>"Directores dos serviços das tecnologias da informação e comunicação (TIC)"</f>
        <v>Directores dos serviços das tecnologias da informação e comunicação (TIC)</v>
      </c>
    </row>
    <row r="132" spans="1:3" ht="15">
      <c r="A132">
        <v>5</v>
      </c>
      <c r="B132" t="str">
        <f>"1330.0"</f>
        <v>1330.0</v>
      </c>
      <c r="C132" t="str">
        <f>"Directores dos serviços das tecnologias da informação e comunicação (TIC)"</f>
        <v>Directores dos serviços das tecnologias da informação e comunicação (TIC)</v>
      </c>
    </row>
    <row r="133" spans="1:3" ht="15">
      <c r="A133">
        <v>3</v>
      </c>
      <c r="B133" t="str">
        <f>"134"</f>
        <v>134</v>
      </c>
      <c r="C133" t="str">
        <f>"Directores de serviços especializados"</f>
        <v>Directores de serviços especializados</v>
      </c>
    </row>
    <row r="134" spans="1:3" ht="15">
      <c r="A134">
        <v>4</v>
      </c>
      <c r="B134" t="str">
        <f>"1341"</f>
        <v>1341</v>
      </c>
      <c r="C134" t="str">
        <f>"Director dos serviços de cuidados de crianças"</f>
        <v>Director dos serviços de cuidados de crianças</v>
      </c>
    </row>
    <row r="135" spans="1:3" ht="15">
      <c r="A135">
        <v>5</v>
      </c>
      <c r="B135" t="str">
        <f>"1341.0"</f>
        <v>1341.0</v>
      </c>
      <c r="C135" t="str">
        <f>"Director dos serviços de cuidados de crianças"</f>
        <v>Director dos serviços de cuidados de crianças</v>
      </c>
    </row>
    <row r="136" spans="1:3" ht="15">
      <c r="A136">
        <v>4</v>
      </c>
      <c r="B136" t="str">
        <f>"1342"</f>
        <v>1342</v>
      </c>
      <c r="C136" t="str">
        <f>"Director dos serviços de saúde"</f>
        <v>Director dos serviços de saúde</v>
      </c>
    </row>
    <row r="137" spans="1:3" ht="15">
      <c r="A137">
        <v>5</v>
      </c>
      <c r="B137" t="str">
        <f>"1342.0"</f>
        <v>1342.0</v>
      </c>
      <c r="C137" t="str">
        <f>"Director dos serviços de saúde"</f>
        <v>Director dos serviços de saúde</v>
      </c>
    </row>
    <row r="138" spans="1:3" ht="15">
      <c r="A138">
        <v>4</v>
      </c>
      <c r="B138" t="str">
        <f>"1343"</f>
        <v>1343</v>
      </c>
      <c r="C138" t="str">
        <f>"Director dos serviços de cuidados a pessoas idosas"</f>
        <v>Director dos serviços de cuidados a pessoas idosas</v>
      </c>
    </row>
    <row r="139" spans="1:3" ht="15">
      <c r="A139">
        <v>5</v>
      </c>
      <c r="B139" t="str">
        <f>"1343.0"</f>
        <v>1343.0</v>
      </c>
      <c r="C139" t="str">
        <f>"Director dos serviços de cuidados a pessoas idosas"</f>
        <v>Director dos serviços de cuidados a pessoas idosas</v>
      </c>
    </row>
    <row r="140" spans="1:3" ht="15">
      <c r="A140">
        <v>4</v>
      </c>
      <c r="B140" t="str">
        <f>"1344"</f>
        <v>1344</v>
      </c>
      <c r="C140" t="str">
        <f>"Director dos serviços de apoio social "</f>
        <v>Director dos serviços de apoio social </v>
      </c>
    </row>
    <row r="141" spans="1:3" ht="15">
      <c r="A141">
        <v>5</v>
      </c>
      <c r="B141" t="str">
        <f>"1344.0"</f>
        <v>1344.0</v>
      </c>
      <c r="C141" t="str">
        <f>"Director dos serviços de apoio social "</f>
        <v>Director dos serviços de apoio social </v>
      </c>
    </row>
    <row r="142" spans="1:3" ht="15">
      <c r="A142">
        <v>4</v>
      </c>
      <c r="B142" t="str">
        <f>"1345"</f>
        <v>1345</v>
      </c>
      <c r="C142" t="str">
        <f>"Director dos serviços de educação"</f>
        <v>Director dos serviços de educação</v>
      </c>
    </row>
    <row r="143" spans="1:3" ht="15">
      <c r="A143">
        <v>5</v>
      </c>
      <c r="B143" t="str">
        <f>"1345.0"</f>
        <v>1345.0</v>
      </c>
      <c r="C143" t="str">
        <f>"Director dos serviços de educação"</f>
        <v>Director dos serviços de educação</v>
      </c>
    </row>
    <row r="144" spans="1:3" ht="15">
      <c r="A144">
        <v>4</v>
      </c>
      <c r="B144" t="str">
        <f>"1346"</f>
        <v>1346</v>
      </c>
      <c r="C144" t="str">
        <f>"Director de sucursais de bancos, serviços financeiros e de seguros"</f>
        <v>Director de sucursais de bancos, serviços financeiros e de seguros</v>
      </c>
    </row>
    <row r="145" spans="1:3" ht="15">
      <c r="A145">
        <v>5</v>
      </c>
      <c r="B145" t="str">
        <f>"1346.0"</f>
        <v>1346.0</v>
      </c>
      <c r="C145" t="str">
        <f>"Director de sucursais de bancos, serviços financeiros e de seguros"</f>
        <v>Director de sucursais de bancos, serviços financeiros e de seguros</v>
      </c>
    </row>
    <row r="146" spans="1:3" ht="15">
      <c r="A146">
        <v>4</v>
      </c>
      <c r="B146" t="str">
        <f>"1349"</f>
        <v>1349</v>
      </c>
      <c r="C146" t="str">
        <f>"Directores de outros serviços especializados e profissionais com funções de comando, direcção ou chefia, das forças e serviços de segurança"</f>
        <v>Directores de outros serviços especializados e profissionais com funções de comando, direcção ou chefia, das forças e serviços de segurança</v>
      </c>
    </row>
    <row r="147" spans="1:3" ht="15">
      <c r="A147">
        <v>5</v>
      </c>
      <c r="B147" t="str">
        <f>"1349.1"</f>
        <v>1349.1</v>
      </c>
      <c r="C147" t="str">
        <f>"Director de bibliotecas, arquivos, museus, galerias de arte e monumentos nacionais "</f>
        <v>Director de bibliotecas, arquivos, museus, galerias de arte e monumentos nacionais </v>
      </c>
    </row>
    <row r="148" spans="1:3" ht="15">
      <c r="A148">
        <v>5</v>
      </c>
      <c r="B148" t="str">
        <f>"1349.2"</f>
        <v>1349.2</v>
      </c>
      <c r="C148" t="str">
        <f>"Oficiais e outros profissionais, das forças e serviços de segurança, com funções de comando, direcção ou chefia "</f>
        <v>Oficiais e outros profissionais, das forças e serviços de segurança, com funções de comando, direcção ou chefia </v>
      </c>
    </row>
    <row r="149" spans="1:3" ht="15">
      <c r="A149">
        <v>5</v>
      </c>
      <c r="B149" t="str">
        <f>"1349.3"</f>
        <v>1349.3</v>
      </c>
      <c r="C149" t="str">
        <f>"Director de outros serviços especializados, n.e."</f>
        <v>Director de outros serviços especializados, n.e.</v>
      </c>
    </row>
    <row r="150" spans="1:3" ht="15">
      <c r="A150">
        <v>2</v>
      </c>
      <c r="B150" t="str">
        <f>"14"</f>
        <v>14</v>
      </c>
      <c r="C150" t="str">
        <f>"Directores de hotelaria, restauração, comércio e de outros serviços "</f>
        <v>Directores de hotelaria, restauração, comércio e de outros serviços </v>
      </c>
    </row>
    <row r="151" spans="1:3" ht="15">
      <c r="A151">
        <v>3</v>
      </c>
      <c r="B151" t="str">
        <f>"141"</f>
        <v>141</v>
      </c>
      <c r="C151" t="str">
        <f>"Directores e gerentes, de hotelaria e restauração "</f>
        <v>Directores e gerentes, de hotelaria e restauração </v>
      </c>
    </row>
    <row r="152" spans="1:3" ht="15">
      <c r="A152">
        <v>4</v>
      </c>
      <c r="B152" t="str">
        <f>"1411"</f>
        <v>1411</v>
      </c>
      <c r="C152" t="str">
        <f>"Director e gerente, de hotéis e similares"</f>
        <v>Director e gerente, de hotéis e similares</v>
      </c>
    </row>
    <row r="153" spans="1:3" ht="15">
      <c r="A153">
        <v>5</v>
      </c>
      <c r="B153" t="str">
        <f>"1411.0"</f>
        <v>1411.0</v>
      </c>
      <c r="C153" t="str">
        <f>"Director e gerente, de hotéis e similares"</f>
        <v>Director e gerente, de hotéis e similares</v>
      </c>
    </row>
    <row r="154" spans="1:3" ht="15">
      <c r="A154">
        <v>4</v>
      </c>
      <c r="B154" t="str">
        <f>"1412"</f>
        <v>1412</v>
      </c>
      <c r="C154" t="str">
        <f>"Director e gerente de restauração (restaurantes e similares)"</f>
        <v>Director e gerente de restauração (restaurantes e similares)</v>
      </c>
    </row>
    <row r="155" spans="1:3" ht="15">
      <c r="A155">
        <v>5</v>
      </c>
      <c r="B155" t="str">
        <f>"1412.0"</f>
        <v>1412.0</v>
      </c>
      <c r="C155" t="str">
        <f>"Director e gerente de restauração (restaurantes e similares)"</f>
        <v>Director e gerente de restauração (restaurantes e similares)</v>
      </c>
    </row>
    <row r="156" spans="1:3" ht="15">
      <c r="A156">
        <v>3</v>
      </c>
      <c r="B156" t="str">
        <f>"142"</f>
        <v>142</v>
      </c>
      <c r="C156" t="str">
        <f>"Directores e gerentes, do comércio a retalho e por grosso"</f>
        <v>Directores e gerentes, do comércio a retalho e por grosso</v>
      </c>
    </row>
    <row r="157" spans="1:3" ht="15">
      <c r="A157">
        <v>4</v>
      </c>
      <c r="B157" t="str">
        <f>"1420"</f>
        <v>1420</v>
      </c>
      <c r="C157" t="str">
        <f>"Directores e gerentes, do comércio a retalho e por grosso"</f>
        <v>Directores e gerentes, do comércio a retalho e por grosso</v>
      </c>
    </row>
    <row r="158" spans="1:3" ht="15">
      <c r="A158">
        <v>5</v>
      </c>
      <c r="B158" t="str">
        <f>"1420.1"</f>
        <v>1420.1</v>
      </c>
      <c r="C158" t="str">
        <f>"Director e gerente do comércio a retalho "</f>
        <v>Director e gerente do comércio a retalho </v>
      </c>
    </row>
    <row r="159" spans="1:3" ht="15">
      <c r="A159">
        <v>5</v>
      </c>
      <c r="B159" t="str">
        <f>"1420.2"</f>
        <v>1420.2</v>
      </c>
      <c r="C159" t="str">
        <f>"Director e gerente do comércio por grosso "</f>
        <v>Director e gerente do comércio por grosso </v>
      </c>
    </row>
    <row r="160" spans="1:3" ht="15">
      <c r="A160">
        <v>3</v>
      </c>
      <c r="B160" t="str">
        <f>"143"</f>
        <v>143</v>
      </c>
      <c r="C160" t="str">
        <f>"Directores e gerentes de outros serviços"</f>
        <v>Directores e gerentes de outros serviços</v>
      </c>
    </row>
    <row r="161" spans="1:3" ht="15">
      <c r="A161">
        <v>4</v>
      </c>
      <c r="B161" t="str">
        <f>"1431"</f>
        <v>1431</v>
      </c>
      <c r="C161" t="str">
        <f>"Director e gerente dos centros desportivos, recreativos e culturais"</f>
        <v>Director e gerente dos centros desportivos, recreativos e culturais</v>
      </c>
    </row>
    <row r="162" spans="1:3" ht="15">
      <c r="A162">
        <v>5</v>
      </c>
      <c r="B162" t="str">
        <f>"1431.0"</f>
        <v>1431.0</v>
      </c>
      <c r="C162" t="str">
        <f>"Director e gerente dos centros desportivos, recreativos e culturais"</f>
        <v>Director e gerente dos centros desportivos, recreativos e culturais</v>
      </c>
    </row>
    <row r="163" spans="1:3" ht="15">
      <c r="A163">
        <v>4</v>
      </c>
      <c r="B163" t="str">
        <f>"1439"</f>
        <v>1439</v>
      </c>
      <c r="C163" t="str">
        <f>"Director e gerente de outros serviços, n.e. "</f>
        <v>Director e gerente de outros serviços, n.e. </v>
      </c>
    </row>
    <row r="164" spans="1:3" ht="15">
      <c r="A164">
        <v>5</v>
      </c>
      <c r="B164" t="str">
        <f>"1439.0"</f>
        <v>1439.0</v>
      </c>
      <c r="C164" t="str">
        <f>"Director e gerente de outros serviços, n.e. "</f>
        <v>Director e gerente de outros serviços, n.e. </v>
      </c>
    </row>
    <row r="165" spans="1:3" ht="15">
      <c r="A165">
        <v>1</v>
      </c>
      <c r="B165" t="str">
        <f>"2"</f>
        <v>2</v>
      </c>
      <c r="C165" t="str">
        <f>"Especialistas das actividades intelectuais e científicas"</f>
        <v>Especialistas das actividades intelectuais e científicas</v>
      </c>
    </row>
    <row r="166" spans="1:3" ht="15">
      <c r="A166">
        <v>2</v>
      </c>
      <c r="B166" t="str">
        <f>"21"</f>
        <v>21</v>
      </c>
      <c r="C166" t="str">
        <f>"Especialistas das ciências físicas, matemáticas, engenharias e técnicas afins"</f>
        <v>Especialistas das ciências físicas, matemáticas, engenharias e técnicas afins</v>
      </c>
    </row>
    <row r="167" spans="1:3" ht="15">
      <c r="A167">
        <v>3</v>
      </c>
      <c r="B167" t="str">
        <f>"211"</f>
        <v>211</v>
      </c>
      <c r="C167" t="str">
        <f>"Físicos, químicos e especialistas relacionados "</f>
        <v>Físicos, químicos e especialistas relacionados </v>
      </c>
    </row>
    <row r="168" spans="1:3" ht="15">
      <c r="A168">
        <v>4</v>
      </c>
      <c r="B168" t="str">
        <f>"2111"</f>
        <v>2111</v>
      </c>
      <c r="C168" t="str">
        <f>"Físicos e astrónomos"</f>
        <v>Físicos e astrónomos</v>
      </c>
    </row>
    <row r="169" spans="1:3" ht="15">
      <c r="A169">
        <v>5</v>
      </c>
      <c r="B169" t="str">
        <f>"2111.1"</f>
        <v>2111.1</v>
      </c>
      <c r="C169" t="str">
        <f>"Físico"</f>
        <v>Físico</v>
      </c>
    </row>
    <row r="170" spans="1:3" ht="15">
      <c r="A170">
        <v>5</v>
      </c>
      <c r="B170" t="str">
        <f>"2111.2"</f>
        <v>2111.2</v>
      </c>
      <c r="C170" t="str">
        <f>"Astrónomo"</f>
        <v>Astrónomo</v>
      </c>
    </row>
    <row r="171" spans="1:3" ht="15">
      <c r="A171">
        <v>4</v>
      </c>
      <c r="B171" t="str">
        <f>"2112"</f>
        <v>2112</v>
      </c>
      <c r="C171" t="str">
        <f>"Meteorologista"</f>
        <v>Meteorologista</v>
      </c>
    </row>
    <row r="172" spans="1:3" ht="15">
      <c r="A172">
        <v>5</v>
      </c>
      <c r="B172" t="str">
        <f>"2112.0"</f>
        <v>2112.0</v>
      </c>
      <c r="C172" t="str">
        <f>"Meteorologista"</f>
        <v>Meteorologista</v>
      </c>
    </row>
    <row r="173" spans="1:3" ht="15">
      <c r="A173">
        <v>4</v>
      </c>
      <c r="B173" t="str">
        <f>"2113"</f>
        <v>2113</v>
      </c>
      <c r="C173" t="str">
        <f>"Químico "</f>
        <v>Químico </v>
      </c>
    </row>
    <row r="174" spans="1:3" ht="15">
      <c r="A174">
        <v>5</v>
      </c>
      <c r="B174" t="str">
        <f>"2113.0"</f>
        <v>2113.0</v>
      </c>
      <c r="C174" t="str">
        <f>"Químico "</f>
        <v>Químico </v>
      </c>
    </row>
    <row r="175" spans="1:3" ht="15">
      <c r="A175">
        <v>4</v>
      </c>
      <c r="B175" t="str">
        <f>"2114"</f>
        <v>2114</v>
      </c>
      <c r="C175" t="str">
        <f>"Geólogos, geofísicos e oceanógrafos "</f>
        <v>Geólogos, geofísicos e oceanógrafos </v>
      </c>
    </row>
    <row r="176" spans="1:3" ht="15">
      <c r="A176">
        <v>5</v>
      </c>
      <c r="B176" t="str">
        <f>"2114.1"</f>
        <v>2114.1</v>
      </c>
      <c r="C176" t="str">
        <f>"Geólogo"</f>
        <v>Geólogo</v>
      </c>
    </row>
    <row r="177" spans="1:3" ht="15">
      <c r="A177">
        <v>5</v>
      </c>
      <c r="B177" t="str">
        <f>"2114.2"</f>
        <v>2114.2</v>
      </c>
      <c r="C177" t="str">
        <f>"Geofísico"</f>
        <v>Geofísico</v>
      </c>
    </row>
    <row r="178" spans="1:3" ht="15">
      <c r="A178">
        <v>5</v>
      </c>
      <c r="B178" t="str">
        <f>"2114.3"</f>
        <v>2114.3</v>
      </c>
      <c r="C178" t="str">
        <f>"Oceanógrafo"</f>
        <v>Oceanógrafo</v>
      </c>
    </row>
    <row r="179" spans="1:3" ht="15">
      <c r="A179">
        <v>3</v>
      </c>
      <c r="B179" t="str">
        <f>"212"</f>
        <v>212</v>
      </c>
      <c r="C179" t="str">
        <f>"Matemáticos, actuários, estaticistas e demógrafos"</f>
        <v>Matemáticos, actuários, estaticistas e demógrafos</v>
      </c>
    </row>
    <row r="180" spans="1:3" ht="15">
      <c r="A180">
        <v>4</v>
      </c>
      <c r="B180" t="str">
        <f>"2120"</f>
        <v>2120</v>
      </c>
      <c r="C180" t="str">
        <f>"Matemáticos, actuários, estaticistas e demógrafos"</f>
        <v>Matemáticos, actuários, estaticistas e demógrafos</v>
      </c>
    </row>
    <row r="181" spans="1:3" ht="15">
      <c r="A181">
        <v>5</v>
      </c>
      <c r="B181" t="str">
        <f>"2120.1"</f>
        <v>2120.1</v>
      </c>
      <c r="C181" t="str">
        <f>"Matemático"</f>
        <v>Matemático</v>
      </c>
    </row>
    <row r="182" spans="1:3" ht="15">
      <c r="A182">
        <v>5</v>
      </c>
      <c r="B182" t="str">
        <f>"2120.2"</f>
        <v>2120.2</v>
      </c>
      <c r="C182" t="str">
        <f>"Actuário "</f>
        <v>Actuário </v>
      </c>
    </row>
    <row r="183" spans="1:3" ht="15">
      <c r="A183">
        <v>5</v>
      </c>
      <c r="B183" t="str">
        <f>"2120.3"</f>
        <v>2120.3</v>
      </c>
      <c r="C183" t="str">
        <f>"Estaticista e demógrafo"</f>
        <v>Estaticista e demógrafo</v>
      </c>
    </row>
    <row r="184" spans="1:3" ht="15">
      <c r="A184">
        <v>3</v>
      </c>
      <c r="B184" t="str">
        <f>"213"</f>
        <v>213</v>
      </c>
      <c r="C184" t="str">
        <f>"Especialistas em ciências da vida"</f>
        <v>Especialistas em ciências da vida</v>
      </c>
    </row>
    <row r="185" spans="1:3" ht="15">
      <c r="A185">
        <v>4</v>
      </c>
      <c r="B185" t="str">
        <f>"2131"</f>
        <v>2131</v>
      </c>
      <c r="C185" t="str">
        <f>"Biólogos, botânicos, zoólogos e especialistas relacionados"</f>
        <v>Biólogos, botânicos, zoólogos e especialistas relacionados</v>
      </c>
    </row>
    <row r="186" spans="1:3" ht="15">
      <c r="A186">
        <v>5</v>
      </c>
      <c r="B186" t="str">
        <f>"2131.1"</f>
        <v>2131.1</v>
      </c>
      <c r="C186" t="str">
        <f>"Biólogo"</f>
        <v>Biólogo</v>
      </c>
    </row>
    <row r="187" spans="1:3" ht="15">
      <c r="A187">
        <v>5</v>
      </c>
      <c r="B187" t="str">
        <f>"2131.2"</f>
        <v>2131.2</v>
      </c>
      <c r="C187" t="str">
        <f>"Botânico"</f>
        <v>Botânico</v>
      </c>
    </row>
    <row r="188" spans="1:3" ht="15">
      <c r="A188">
        <v>5</v>
      </c>
      <c r="B188" t="str">
        <f>"2131.3"</f>
        <v>2131.3</v>
      </c>
      <c r="C188" t="str">
        <f>"Zoólogo"</f>
        <v>Zoólogo</v>
      </c>
    </row>
    <row r="189" spans="1:3" ht="15">
      <c r="A189">
        <v>5</v>
      </c>
      <c r="B189" t="str">
        <f>"2131.4"</f>
        <v>2131.4</v>
      </c>
      <c r="C189" t="str">
        <f>"Farmacologista e outros especialistas relacionados "</f>
        <v>Farmacologista e outros especialistas relacionados </v>
      </c>
    </row>
    <row r="190" spans="1:3" ht="15">
      <c r="A190">
        <v>4</v>
      </c>
      <c r="B190" t="str">
        <f>"2132"</f>
        <v>2132</v>
      </c>
      <c r="C190" t="str">
        <f>"Engenheiros agrónomos, florestais e consultores das pescas "</f>
        <v>Engenheiros agrónomos, florestais e consultores das pescas </v>
      </c>
    </row>
    <row r="191" spans="1:3" ht="15">
      <c r="A191">
        <v>5</v>
      </c>
      <c r="B191" t="str">
        <f>"2132.1"</f>
        <v>2132.1</v>
      </c>
      <c r="C191" t="str">
        <f>"Engenheiro agrónomo"</f>
        <v>Engenheiro agrónomo</v>
      </c>
    </row>
    <row r="192" spans="1:3" ht="15">
      <c r="A192">
        <v>5</v>
      </c>
      <c r="B192" t="str">
        <f>"2132.2"</f>
        <v>2132.2</v>
      </c>
      <c r="C192" t="str">
        <f>"Engenheiro florestal"</f>
        <v>Engenheiro florestal</v>
      </c>
    </row>
    <row r="193" spans="1:3" ht="15">
      <c r="A193">
        <v>5</v>
      </c>
      <c r="B193" t="str">
        <f>"2132.3"</f>
        <v>2132.3</v>
      </c>
      <c r="C193" t="str">
        <f>"Consultor de actividades das pescas"</f>
        <v>Consultor de actividades das pescas</v>
      </c>
    </row>
    <row r="194" spans="1:3" ht="15">
      <c r="A194">
        <v>4</v>
      </c>
      <c r="B194" t="str">
        <f>"2133"</f>
        <v>2133</v>
      </c>
      <c r="C194" t="str">
        <f>"Especialista da protecção do ambiente "</f>
        <v>Especialista da protecção do ambiente </v>
      </c>
    </row>
    <row r="195" spans="1:3" ht="15">
      <c r="A195">
        <v>5</v>
      </c>
      <c r="B195" t="str">
        <f>"2133.0"</f>
        <v>2133.0</v>
      </c>
      <c r="C195" t="str">
        <f>"Especialista da protecção do ambiente "</f>
        <v>Especialista da protecção do ambiente </v>
      </c>
    </row>
    <row r="196" spans="1:3" ht="15">
      <c r="A196">
        <v>3</v>
      </c>
      <c r="B196" t="str">
        <f>"214"</f>
        <v>214</v>
      </c>
      <c r="C196" t="str">
        <f>"Especialistas em engenharia (excepto electrotecnologia)"</f>
        <v>Especialistas em engenharia (excepto electrotecnologia)</v>
      </c>
    </row>
    <row r="197" spans="1:3" ht="15">
      <c r="A197">
        <v>4</v>
      </c>
      <c r="B197" t="str">
        <f>"2141"</f>
        <v>2141</v>
      </c>
      <c r="C197" t="str">
        <f>"Engenheiro industrial e de produção"</f>
        <v>Engenheiro industrial e de produção</v>
      </c>
    </row>
    <row r="198" spans="1:3" ht="15">
      <c r="A198">
        <v>5</v>
      </c>
      <c r="B198" t="str">
        <f>"2141.0"</f>
        <v>2141.0</v>
      </c>
      <c r="C198" t="str">
        <f>"Engenheiro industrial e de produção"</f>
        <v>Engenheiro industrial e de produção</v>
      </c>
    </row>
    <row r="199" spans="1:3" ht="15">
      <c r="A199">
        <v>4</v>
      </c>
      <c r="B199" t="str">
        <f>"2142"</f>
        <v>2142</v>
      </c>
      <c r="C199" t="str">
        <f>"Engenheiros civis"</f>
        <v>Engenheiros civis</v>
      </c>
    </row>
    <row r="200" spans="1:3" ht="15">
      <c r="A200">
        <v>5</v>
      </c>
      <c r="B200" t="str">
        <f>"2142.1"</f>
        <v>2142.1</v>
      </c>
      <c r="C200" t="str">
        <f>"Engenheiro de construção de edifícios "</f>
        <v>Engenheiro de construção de edifícios </v>
      </c>
    </row>
    <row r="201" spans="1:3" ht="15">
      <c r="A201">
        <v>5</v>
      </c>
      <c r="B201" t="str">
        <f>"2142.2"</f>
        <v>2142.2</v>
      </c>
      <c r="C201" t="str">
        <f>"Engenheiro de obras de engenharia civil "</f>
        <v>Engenheiro de obras de engenharia civil </v>
      </c>
    </row>
    <row r="202" spans="1:3" ht="15">
      <c r="A202">
        <v>4</v>
      </c>
      <c r="B202" t="str">
        <f>"2143"</f>
        <v>2143</v>
      </c>
      <c r="C202" t="str">
        <f>"Engenheiro do ambiente"</f>
        <v>Engenheiro do ambiente</v>
      </c>
    </row>
    <row r="203" spans="1:3" ht="15">
      <c r="A203">
        <v>5</v>
      </c>
      <c r="B203" t="str">
        <f>"2143.0"</f>
        <v>2143.0</v>
      </c>
      <c r="C203" t="str">
        <f>"Engenheiro do ambiente"</f>
        <v>Engenheiro do ambiente</v>
      </c>
    </row>
    <row r="204" spans="1:3" ht="15">
      <c r="A204">
        <v>4</v>
      </c>
      <c r="B204" t="str">
        <f>"2144"</f>
        <v>2144</v>
      </c>
      <c r="C204" t="str">
        <f>"Engenheiro mecânico"</f>
        <v>Engenheiro mecânico</v>
      </c>
    </row>
    <row r="205" spans="1:3" ht="15">
      <c r="A205">
        <v>5</v>
      </c>
      <c r="B205" t="str">
        <f>"2144.0"</f>
        <v>2144.0</v>
      </c>
      <c r="C205" t="str">
        <f>"Engenheiro mecânico"</f>
        <v>Engenheiro mecânico</v>
      </c>
    </row>
    <row r="206" spans="1:3" ht="15">
      <c r="A206">
        <v>4</v>
      </c>
      <c r="B206" t="str">
        <f>"2145"</f>
        <v>2145</v>
      </c>
      <c r="C206" t="str">
        <f>"Engenheiro químico "</f>
        <v>Engenheiro químico </v>
      </c>
    </row>
    <row r="207" spans="1:3" ht="15">
      <c r="A207">
        <v>5</v>
      </c>
      <c r="B207" t="str">
        <f>"2145.0"</f>
        <v>2145.0</v>
      </c>
      <c r="C207" t="str">
        <f>"Engenheiro químico "</f>
        <v>Engenheiro químico </v>
      </c>
    </row>
    <row r="208" spans="1:3" ht="15">
      <c r="A208">
        <v>4</v>
      </c>
      <c r="B208" t="str">
        <f>"2146"</f>
        <v>2146</v>
      </c>
      <c r="C208" t="str">
        <f>"Engenheiros de minas, metalurgia e relacionados"</f>
        <v>Engenheiros de minas, metalurgia e relacionados</v>
      </c>
    </row>
    <row r="209" spans="1:3" ht="15">
      <c r="A209">
        <v>5</v>
      </c>
      <c r="B209" t="str">
        <f>"2146.1"</f>
        <v>2146.1</v>
      </c>
      <c r="C209" t="str">
        <f>"Engenheiro de minas"</f>
        <v>Engenheiro de minas</v>
      </c>
    </row>
    <row r="210" spans="1:3" ht="15">
      <c r="A210">
        <v>5</v>
      </c>
      <c r="B210" t="str">
        <f>"2146.2"</f>
        <v>2146.2</v>
      </c>
      <c r="C210" t="str">
        <f>"Engenheiro metalúrgico"</f>
        <v>Engenheiro metalúrgico</v>
      </c>
    </row>
    <row r="211" spans="1:3" ht="15">
      <c r="A211">
        <v>5</v>
      </c>
      <c r="B211" t="str">
        <f>"2146.3"</f>
        <v>2146.3</v>
      </c>
      <c r="C211" t="str">
        <f>"Outros engenheiros relacionados com minas e metalurgia "</f>
        <v>Outros engenheiros relacionados com minas e metalurgia </v>
      </c>
    </row>
    <row r="212" spans="1:3" ht="15">
      <c r="A212">
        <v>4</v>
      </c>
      <c r="B212" t="str">
        <f>"2149"</f>
        <v>2149</v>
      </c>
      <c r="C212" t="str">
        <f>"Outros especialistas em engenharia (excepto electrotecnologia) "</f>
        <v>Outros especialistas em engenharia (excepto electrotecnologia) </v>
      </c>
    </row>
    <row r="213" spans="1:3" ht="15">
      <c r="A213">
        <v>5</v>
      </c>
      <c r="B213" t="str">
        <f>"2149.0"</f>
        <v>2149.0</v>
      </c>
      <c r="C213" t="str">
        <f>"Outros especialistas em engenharia (excepto electrotecnologia)"</f>
        <v>Outros especialistas em engenharia (excepto electrotecnologia)</v>
      </c>
    </row>
    <row r="214" spans="1:3" ht="15">
      <c r="A214">
        <v>3</v>
      </c>
      <c r="B214" t="str">
        <f>"215"</f>
        <v>215</v>
      </c>
      <c r="C214" t="str">
        <f>"Engenheiros de electrotecnologia"</f>
        <v>Engenheiros de electrotecnologia</v>
      </c>
    </row>
    <row r="215" spans="1:3" ht="15">
      <c r="A215">
        <v>4</v>
      </c>
      <c r="B215" t="str">
        <f>"2151"</f>
        <v>2151</v>
      </c>
      <c r="C215" t="str">
        <f>"Engenheiro electrotécnico"</f>
        <v>Engenheiro electrotécnico</v>
      </c>
    </row>
    <row r="216" spans="1:3" ht="15">
      <c r="A216">
        <v>5</v>
      </c>
      <c r="B216" t="str">
        <f>"2151.0"</f>
        <v>2151.0</v>
      </c>
      <c r="C216" t="str">
        <f>"Engenheiro electrotécnico"</f>
        <v>Engenheiro electrotécnico</v>
      </c>
    </row>
    <row r="217" spans="1:3" ht="15">
      <c r="A217">
        <v>4</v>
      </c>
      <c r="B217" t="str">
        <f>"2152"</f>
        <v>2152</v>
      </c>
      <c r="C217" t="str">
        <f>"Engenheiro electrónico"</f>
        <v>Engenheiro electrónico</v>
      </c>
    </row>
    <row r="218" spans="1:3" ht="15">
      <c r="A218">
        <v>5</v>
      </c>
      <c r="B218" t="str">
        <f>"2152.0"</f>
        <v>2152.0</v>
      </c>
      <c r="C218" t="str">
        <f>"Engenheiro electrónico"</f>
        <v>Engenheiro electrónico</v>
      </c>
    </row>
    <row r="219" spans="1:3" ht="15">
      <c r="A219">
        <v>4</v>
      </c>
      <c r="B219" t="str">
        <f>"2153"</f>
        <v>2153</v>
      </c>
      <c r="C219" t="str">
        <f>"Engenheiro de telecomunicações"</f>
        <v>Engenheiro de telecomunicações</v>
      </c>
    </row>
    <row r="220" spans="1:3" ht="15">
      <c r="A220">
        <v>5</v>
      </c>
      <c r="B220" t="str">
        <f>"2153.0"</f>
        <v>2153.0</v>
      </c>
      <c r="C220" t="str">
        <f>"Engenheiro de telecomunicações"</f>
        <v>Engenheiro de telecomunicações</v>
      </c>
    </row>
    <row r="221" spans="1:3" ht="15">
      <c r="A221">
        <v>3</v>
      </c>
      <c r="B221" t="str">
        <f>"216"</f>
        <v>216</v>
      </c>
      <c r="C221" t="str">
        <f>"Arquitectos, urbanistas, agrimensores e designers "</f>
        <v>Arquitectos, urbanistas, agrimensores e designers </v>
      </c>
    </row>
    <row r="222" spans="1:3" ht="15">
      <c r="A222">
        <v>4</v>
      </c>
      <c r="B222" t="str">
        <f>"2161"</f>
        <v>2161</v>
      </c>
      <c r="C222" t="str">
        <f>"Arquitecto de edifícios"</f>
        <v>Arquitecto de edifícios</v>
      </c>
    </row>
    <row r="223" spans="1:3" ht="15">
      <c r="A223">
        <v>5</v>
      </c>
      <c r="B223" t="str">
        <f>"2161.0"</f>
        <v>2161.0</v>
      </c>
      <c r="C223" t="str">
        <f>"Arquitecto de edifícios"</f>
        <v>Arquitecto de edifícios</v>
      </c>
    </row>
    <row r="224" spans="1:3" ht="15">
      <c r="A224">
        <v>4</v>
      </c>
      <c r="B224" t="str">
        <f>"2162"</f>
        <v>2162</v>
      </c>
      <c r="C224" t="str">
        <f>"Arquitecto paisagista "</f>
        <v>Arquitecto paisagista </v>
      </c>
    </row>
    <row r="225" spans="1:3" ht="15">
      <c r="A225">
        <v>5</v>
      </c>
      <c r="B225" t="str">
        <f>"2162.0"</f>
        <v>2162.0</v>
      </c>
      <c r="C225" t="str">
        <f>"Arquitecto paisagista "</f>
        <v>Arquitecto paisagista </v>
      </c>
    </row>
    <row r="226" spans="1:3" ht="15">
      <c r="A226">
        <v>4</v>
      </c>
      <c r="B226" t="str">
        <f>"2163"</f>
        <v>2163</v>
      </c>
      <c r="C226" t="str">
        <f>"Designers de produto, têxteis, moda e de interiores "</f>
        <v>Designers de produto, têxteis, moda e de interiores </v>
      </c>
    </row>
    <row r="227" spans="1:3" ht="15">
      <c r="A227">
        <v>5</v>
      </c>
      <c r="B227" t="str">
        <f>"2163.1"</f>
        <v>2163.1</v>
      </c>
      <c r="C227" t="str">
        <f>"Designer de produto industrial ou de equipamento"</f>
        <v>Designer de produto industrial ou de equipamento</v>
      </c>
    </row>
    <row r="228" spans="1:3" ht="15">
      <c r="A228">
        <v>5</v>
      </c>
      <c r="B228" t="str">
        <f>"2163.2"</f>
        <v>2163.2</v>
      </c>
      <c r="C228" t="str">
        <f>"Designer de têxteis e moda"</f>
        <v>Designer de têxteis e moda</v>
      </c>
    </row>
    <row r="229" spans="1:3" ht="15">
      <c r="A229">
        <v>5</v>
      </c>
      <c r="B229" t="str">
        <f>"2163.3"</f>
        <v>2163.3</v>
      </c>
      <c r="C229" t="str">
        <f>"Designer de interiores, espaços ou de ambientes"</f>
        <v>Designer de interiores, espaços ou de ambientes</v>
      </c>
    </row>
    <row r="230" spans="1:3" ht="15">
      <c r="A230">
        <v>4</v>
      </c>
      <c r="B230" t="str">
        <f>"2164"</f>
        <v>2164</v>
      </c>
      <c r="C230" t="str">
        <f>"Urbanista de cidade e tráfego"</f>
        <v>Urbanista de cidade e tráfego</v>
      </c>
    </row>
    <row r="231" spans="1:3" ht="15">
      <c r="A231">
        <v>5</v>
      </c>
      <c r="B231" t="str">
        <f>"2164.0"</f>
        <v>2164.0</v>
      </c>
      <c r="C231" t="str">
        <f>"Urbanista de cidade e tráfego"</f>
        <v>Urbanista de cidade e tráfego</v>
      </c>
    </row>
    <row r="232" spans="1:3" ht="15">
      <c r="A232">
        <v>4</v>
      </c>
      <c r="B232" t="str">
        <f>"2165"</f>
        <v>2165</v>
      </c>
      <c r="C232" t="str">
        <f>"Cartógrafo, agrimensor, topógrafo e similares"</f>
        <v>Cartógrafo, agrimensor, topógrafo e similares</v>
      </c>
    </row>
    <row r="233" spans="1:3" ht="15">
      <c r="A233">
        <v>5</v>
      </c>
      <c r="B233" t="str">
        <f>"2165.1"</f>
        <v>2165.1</v>
      </c>
      <c r="C233" t="str">
        <f>"Cartógrafo e agrimensor"</f>
        <v>Cartógrafo e agrimensor</v>
      </c>
    </row>
    <row r="234" spans="1:3" ht="15">
      <c r="A234">
        <v>5</v>
      </c>
      <c r="B234" t="str">
        <f>"2165.2"</f>
        <v>2165.2</v>
      </c>
      <c r="C234" t="str">
        <f>"Topógrafo e similares"</f>
        <v>Topógrafo e similares</v>
      </c>
    </row>
    <row r="235" spans="1:3" ht="15">
      <c r="A235">
        <v>4</v>
      </c>
      <c r="B235" t="str">
        <f>"2166"</f>
        <v>2166</v>
      </c>
      <c r="C235" t="str">
        <f>"Designer, gráfico ou de comunicação e multimédia"</f>
        <v>Designer, gráfico ou de comunicação e multimédia</v>
      </c>
    </row>
    <row r="236" spans="1:3" ht="15">
      <c r="A236">
        <v>5</v>
      </c>
      <c r="B236" t="str">
        <f>"2166.0"</f>
        <v>2166.0</v>
      </c>
      <c r="C236" t="str">
        <f>"Designer, gráfico ou de comunicação e multimédia"</f>
        <v>Designer, gráfico ou de comunicação e multimédia</v>
      </c>
    </row>
    <row r="237" spans="1:3" ht="15">
      <c r="A237">
        <v>2</v>
      </c>
      <c r="B237" t="str">
        <f>"22"</f>
        <v>22</v>
      </c>
      <c r="C237" t="str">
        <f>"Profissionais de saúde"</f>
        <v>Profissionais de saúde</v>
      </c>
    </row>
    <row r="238" spans="1:3" ht="15">
      <c r="A238">
        <v>3</v>
      </c>
      <c r="B238" t="str">
        <f>"221"</f>
        <v>221</v>
      </c>
      <c r="C238" t="str">
        <f>"Médicos"</f>
        <v>Médicos</v>
      </c>
    </row>
    <row r="239" spans="1:3" ht="15">
      <c r="A239">
        <v>4</v>
      </c>
      <c r="B239" t="str">
        <f>"2211"</f>
        <v>2211</v>
      </c>
      <c r="C239" t="str">
        <f>"Médicos generalistas"</f>
        <v>Médicos generalistas</v>
      </c>
    </row>
    <row r="240" spans="1:3" ht="15">
      <c r="A240">
        <v>5</v>
      </c>
      <c r="B240" t="str">
        <f>"2211.1"</f>
        <v>2211.1</v>
      </c>
      <c r="C240" t="str">
        <f>"Médico de medicina geral e familiar "</f>
        <v>Médico de medicina geral e familiar </v>
      </c>
    </row>
    <row r="241" spans="1:3" ht="15">
      <c r="A241">
        <v>5</v>
      </c>
      <c r="B241" t="str">
        <f>"2211.2"</f>
        <v>2211.2</v>
      </c>
      <c r="C241" t="str">
        <f>"Outros médicos generalistas"</f>
        <v>Outros médicos generalistas</v>
      </c>
    </row>
    <row r="242" spans="1:3" ht="15">
      <c r="A242">
        <v>4</v>
      </c>
      <c r="B242" t="str">
        <f>"2212"</f>
        <v>2212</v>
      </c>
      <c r="C242" t="str">
        <f>"Médicos especializados"</f>
        <v>Médicos especializados</v>
      </c>
    </row>
    <row r="243" spans="1:3" ht="15">
      <c r="A243">
        <v>5</v>
      </c>
      <c r="B243" t="str">
        <f>"2212.1"</f>
        <v>2212.1</v>
      </c>
      <c r="C243" t="str">
        <f>"Médico de especialidades cirúrgicas "</f>
        <v>Médico de especialidades cirúrgicas </v>
      </c>
    </row>
    <row r="244" spans="1:3" ht="15">
      <c r="A244">
        <v>5</v>
      </c>
      <c r="B244" t="str">
        <f>"2212.2"</f>
        <v>2212.2</v>
      </c>
      <c r="C244" t="str">
        <f>"Médico de especialidades médicas"</f>
        <v>Médico de especialidades médicas</v>
      </c>
    </row>
    <row r="245" spans="1:3" ht="15">
      <c r="A245">
        <v>5</v>
      </c>
      <c r="B245" t="str">
        <f>"2212.3"</f>
        <v>2212.3</v>
      </c>
      <c r="C245" t="str">
        <f>"Médico de especialidades técnicas"</f>
        <v>Médico de especialidades técnicas</v>
      </c>
    </row>
    <row r="246" spans="1:3" ht="15">
      <c r="A246">
        <v>3</v>
      </c>
      <c r="B246" t="str">
        <f>"222"</f>
        <v>222</v>
      </c>
      <c r="C246" t="str">
        <f>"Profissionais de enfermagem "</f>
        <v>Profissionais de enfermagem </v>
      </c>
    </row>
    <row r="247" spans="1:3" ht="15">
      <c r="A247">
        <v>4</v>
      </c>
      <c r="B247" t="str">
        <f>"2221"</f>
        <v>2221</v>
      </c>
      <c r="C247" t="str">
        <f>"Enfermeiros e enfermeiros especialistas (excepto em saúde materna e obstétrica)"</f>
        <v>Enfermeiros e enfermeiros especialistas (excepto em saúde materna e obstétrica)</v>
      </c>
    </row>
    <row r="248" spans="1:3" ht="15">
      <c r="A248">
        <v>5</v>
      </c>
      <c r="B248" t="str">
        <f>"2221.1"</f>
        <v>2221.1</v>
      </c>
      <c r="C248" t="str">
        <f>"Enfermeiro de cuidados gerais"</f>
        <v>Enfermeiro de cuidados gerais</v>
      </c>
    </row>
    <row r="249" spans="1:3" ht="15">
      <c r="A249">
        <v>5</v>
      </c>
      <c r="B249" t="str">
        <f>"2221.2"</f>
        <v>2221.2</v>
      </c>
      <c r="C249" t="str">
        <f>"Enfermeiro especialista em reabilitação"</f>
        <v>Enfermeiro especialista em reabilitação</v>
      </c>
    </row>
    <row r="250" spans="1:3" ht="15">
      <c r="A250">
        <v>5</v>
      </c>
      <c r="B250" t="str">
        <f>"2221.3"</f>
        <v>2221.3</v>
      </c>
      <c r="C250" t="str">
        <f>"Enfermeiro especialista em saúde infantil e pediátrica"</f>
        <v>Enfermeiro especialista em saúde infantil e pediátrica</v>
      </c>
    </row>
    <row r="251" spans="1:3" ht="15">
      <c r="A251">
        <v>5</v>
      </c>
      <c r="B251" t="str">
        <f>"2221.4"</f>
        <v>2221.4</v>
      </c>
      <c r="C251" t="str">
        <f>"Enfermeiro especialista em saúde mental e psiquiátrica"</f>
        <v>Enfermeiro especialista em saúde mental e psiquiátrica</v>
      </c>
    </row>
    <row r="252" spans="1:3" ht="15">
      <c r="A252">
        <v>5</v>
      </c>
      <c r="B252" t="str">
        <f>"2221.5"</f>
        <v>2221.5</v>
      </c>
      <c r="C252" t="str">
        <f>"Enfermeiro especialista em enfermagem comunitária "</f>
        <v>Enfermeiro especialista em enfermagem comunitária </v>
      </c>
    </row>
    <row r="253" spans="1:3" ht="15">
      <c r="A253">
        <v>5</v>
      </c>
      <c r="B253" t="str">
        <f>"2221.6"</f>
        <v>2221.6</v>
      </c>
      <c r="C253" t="str">
        <f>"Enfermeiro especialista em enfermagem médico-cirúrgica"</f>
        <v>Enfermeiro especialista em enfermagem médico-cirúrgica</v>
      </c>
    </row>
    <row r="254" spans="1:3" ht="15">
      <c r="A254">
        <v>5</v>
      </c>
      <c r="B254" t="str">
        <f>"2221.7"</f>
        <v>2221.7</v>
      </c>
      <c r="C254" t="str">
        <f>"Outros enfermeiros especialistas (excepto em saúde materna e obstétrica)"</f>
        <v>Outros enfermeiros especialistas (excepto em saúde materna e obstétrica)</v>
      </c>
    </row>
    <row r="255" spans="1:3" ht="15">
      <c r="A255">
        <v>4</v>
      </c>
      <c r="B255" t="str">
        <f>"2222"</f>
        <v>2222</v>
      </c>
      <c r="C255" t="str">
        <f>"Enfermeiro especialista em saúde materna e obstétrica"</f>
        <v>Enfermeiro especialista em saúde materna e obstétrica</v>
      </c>
    </row>
    <row r="256" spans="1:3" ht="15">
      <c r="A256">
        <v>5</v>
      </c>
      <c r="B256" t="str">
        <f>"2222.0"</f>
        <v>2222.0</v>
      </c>
      <c r="C256" t="str">
        <f>"Enfermeiro especialista em saúde materna e obstétrica"</f>
        <v>Enfermeiro especialista em saúde materna e obstétrica</v>
      </c>
    </row>
    <row r="257" spans="1:3" ht="15">
      <c r="A257">
        <v>3</v>
      </c>
      <c r="B257" t="str">
        <f>"223"</f>
        <v>223</v>
      </c>
      <c r="C257" t="str">
        <f>"Especialista em medicina tradicional e alternativa"</f>
        <v>Especialista em medicina tradicional e alternativa</v>
      </c>
    </row>
    <row r="258" spans="1:3" ht="15">
      <c r="A258">
        <v>4</v>
      </c>
      <c r="B258" t="str">
        <f>"2230"</f>
        <v>2230</v>
      </c>
      <c r="C258" t="str">
        <f>"Especialista em medicina tradicional e alternativa"</f>
        <v>Especialista em medicina tradicional e alternativa</v>
      </c>
    </row>
    <row r="259" spans="1:3" ht="15">
      <c r="A259">
        <v>5</v>
      </c>
      <c r="B259" t="str">
        <f>"2230.1"</f>
        <v>2230.1</v>
      </c>
      <c r="C259" t="str">
        <f>"Acupunctor "</f>
        <v>Acupunctor </v>
      </c>
    </row>
    <row r="260" spans="1:3" ht="15">
      <c r="A260">
        <v>5</v>
      </c>
      <c r="B260" t="str">
        <f>"2230.2"</f>
        <v>2230.2</v>
      </c>
      <c r="C260" t="str">
        <f>"Homeopata"</f>
        <v>Homeopata</v>
      </c>
    </row>
    <row r="261" spans="1:3" ht="15">
      <c r="A261">
        <v>5</v>
      </c>
      <c r="B261" t="str">
        <f>"2230.3"</f>
        <v>2230.3</v>
      </c>
      <c r="C261" t="str">
        <f>"Outros especialistas em medicina tradicional e alternativa"</f>
        <v>Outros especialistas em medicina tradicional e alternativa</v>
      </c>
    </row>
    <row r="262" spans="1:3" ht="15">
      <c r="A262">
        <v>3</v>
      </c>
      <c r="B262" t="str">
        <f>"224"</f>
        <v>224</v>
      </c>
      <c r="C262" t="str">
        <f>"Profissional paramédico "</f>
        <v>Profissional paramédico </v>
      </c>
    </row>
    <row r="263" spans="1:3" ht="15">
      <c r="A263">
        <v>4</v>
      </c>
      <c r="B263" t="str">
        <f>"2240"</f>
        <v>2240</v>
      </c>
      <c r="C263" t="str">
        <f>"Profissional paramédico"</f>
        <v>Profissional paramédico</v>
      </c>
    </row>
    <row r="264" spans="1:3" ht="15">
      <c r="A264">
        <v>5</v>
      </c>
      <c r="B264" t="str">
        <f>"2240.0"</f>
        <v>2240.0</v>
      </c>
      <c r="C264" t="str">
        <f>"Profissional paramédico"</f>
        <v>Profissional paramédico</v>
      </c>
    </row>
    <row r="265" spans="1:3" ht="15">
      <c r="A265">
        <v>3</v>
      </c>
      <c r="B265" t="str">
        <f>"225"</f>
        <v>225</v>
      </c>
      <c r="C265" t="str">
        <f>"Veterinário "</f>
        <v>Veterinário </v>
      </c>
    </row>
    <row r="266" spans="1:3" ht="15">
      <c r="A266">
        <v>4</v>
      </c>
      <c r="B266" t="str">
        <f>"2250"</f>
        <v>2250</v>
      </c>
      <c r="C266" t="str">
        <f>"Veterinário "</f>
        <v>Veterinário </v>
      </c>
    </row>
    <row r="267" spans="1:3" ht="15">
      <c r="A267">
        <v>5</v>
      </c>
      <c r="B267" t="str">
        <f>"2250.0"</f>
        <v>2250.0</v>
      </c>
      <c r="C267" t="str">
        <f>"Veterinário "</f>
        <v>Veterinário </v>
      </c>
    </row>
    <row r="268" spans="1:3" ht="15">
      <c r="A268">
        <v>3</v>
      </c>
      <c r="B268" t="str">
        <f>"226"</f>
        <v>226</v>
      </c>
      <c r="C268" t="str">
        <f>"Outros profissionais de saúde"</f>
        <v>Outros profissionais de saúde</v>
      </c>
    </row>
    <row r="269" spans="1:3" ht="15">
      <c r="A269">
        <v>4</v>
      </c>
      <c r="B269" t="str">
        <f>"2261"</f>
        <v>2261</v>
      </c>
      <c r="C269" t="str">
        <f>"Médicos dentistas e estomatologistas"</f>
        <v>Médicos dentistas e estomatologistas</v>
      </c>
    </row>
    <row r="270" spans="1:3" ht="15">
      <c r="A270">
        <v>5</v>
      </c>
      <c r="B270" t="str">
        <f>"2261.1"</f>
        <v>2261.1</v>
      </c>
      <c r="C270" t="str">
        <f>"Médico estomatologista"</f>
        <v>Médico estomatologista</v>
      </c>
    </row>
    <row r="271" spans="1:3" ht="15">
      <c r="A271">
        <v>5</v>
      </c>
      <c r="B271" t="str">
        <f>"2261.2"</f>
        <v>2261.2</v>
      </c>
      <c r="C271" t="str">
        <f>"Médico dentista "</f>
        <v>Médico dentista </v>
      </c>
    </row>
    <row r="272" spans="1:3" ht="15">
      <c r="A272">
        <v>4</v>
      </c>
      <c r="B272" t="str">
        <f>"2262"</f>
        <v>2262</v>
      </c>
      <c r="C272" t="str">
        <f>"Farmacêutico "</f>
        <v>Farmacêutico </v>
      </c>
    </row>
    <row r="273" spans="1:3" ht="15">
      <c r="A273">
        <v>5</v>
      </c>
      <c r="B273" t="str">
        <f>"2262.0"</f>
        <v>2262.0</v>
      </c>
      <c r="C273" t="str">
        <f>"Farmacêutico "</f>
        <v>Farmacêutico </v>
      </c>
    </row>
    <row r="274" spans="1:3" ht="15">
      <c r="A274">
        <v>4</v>
      </c>
      <c r="B274" t="str">
        <f>"2263"</f>
        <v>2263</v>
      </c>
      <c r="C274" t="str">
        <f>"Especialista em higiene e saúde, ambiental e laboral"</f>
        <v>Especialista em higiene e saúde, ambiental e laboral</v>
      </c>
    </row>
    <row r="275" spans="1:3" ht="15">
      <c r="A275">
        <v>5</v>
      </c>
      <c r="B275" t="str">
        <f>"2263.0"</f>
        <v>2263.0</v>
      </c>
      <c r="C275" t="str">
        <f>"Especialista em higiene e saúde, ambiental e laboral"</f>
        <v>Especialista em higiene e saúde, ambiental e laboral</v>
      </c>
    </row>
    <row r="276" spans="1:3" ht="15">
      <c r="A276">
        <v>4</v>
      </c>
      <c r="B276" t="str">
        <f>"2264"</f>
        <v>2264</v>
      </c>
      <c r="C276" t="str">
        <f>"Fisioterapeuta "</f>
        <v>Fisioterapeuta </v>
      </c>
    </row>
    <row r="277" spans="1:3" ht="15">
      <c r="A277">
        <v>5</v>
      </c>
      <c r="B277" t="str">
        <f>"2264.0"</f>
        <v>2264.0</v>
      </c>
      <c r="C277" t="str">
        <f>"Fisioterapeuta "</f>
        <v>Fisioterapeuta </v>
      </c>
    </row>
    <row r="278" spans="1:3" ht="15">
      <c r="A278">
        <v>4</v>
      </c>
      <c r="B278" t="str">
        <f>"2265"</f>
        <v>2265</v>
      </c>
      <c r="C278" t="str">
        <f>"Dietista e nutricionista "</f>
        <v>Dietista e nutricionista </v>
      </c>
    </row>
    <row r="279" spans="1:3" ht="15">
      <c r="A279">
        <v>5</v>
      </c>
      <c r="B279" t="str">
        <f>"2265.0"</f>
        <v>2265.0</v>
      </c>
      <c r="C279" t="str">
        <f>"Dietista e nutricionista "</f>
        <v>Dietista e nutricionista </v>
      </c>
    </row>
    <row r="280" spans="1:3" ht="15">
      <c r="A280">
        <v>4</v>
      </c>
      <c r="B280" t="str">
        <f>"2266"</f>
        <v>2266</v>
      </c>
      <c r="C280" t="str">
        <f>"Audiologistas e terapeutas da fala"</f>
        <v>Audiologistas e terapeutas da fala</v>
      </c>
    </row>
    <row r="281" spans="1:3" ht="15">
      <c r="A281">
        <v>5</v>
      </c>
      <c r="B281" t="str">
        <f>"2266.1"</f>
        <v>2266.1</v>
      </c>
      <c r="C281" t="str">
        <f>"Audiologista"</f>
        <v>Audiologista</v>
      </c>
    </row>
    <row r="282" spans="1:3" ht="15">
      <c r="A282">
        <v>5</v>
      </c>
      <c r="B282" t="str">
        <f>"2266.2"</f>
        <v>2266.2</v>
      </c>
      <c r="C282" t="str">
        <f>"Terapeuta da fala"</f>
        <v>Terapeuta da fala</v>
      </c>
    </row>
    <row r="283" spans="1:3" ht="15">
      <c r="A283">
        <v>4</v>
      </c>
      <c r="B283" t="str">
        <f>"2267"</f>
        <v>2267</v>
      </c>
      <c r="C283" t="str">
        <f>"Optometrista e óptico oftálmico"</f>
        <v>Optometrista e óptico oftálmico</v>
      </c>
    </row>
    <row r="284" spans="1:3" ht="15">
      <c r="A284">
        <v>5</v>
      </c>
      <c r="B284" t="str">
        <f>"2267.0"</f>
        <v>2267.0</v>
      </c>
      <c r="C284" t="str">
        <f>"Optometrista e óptico oftálmico"</f>
        <v>Optometrista e óptico oftálmico</v>
      </c>
    </row>
    <row r="285" spans="1:3" ht="15">
      <c r="A285">
        <v>4</v>
      </c>
      <c r="B285" t="str">
        <f>"2269"</f>
        <v>2269</v>
      </c>
      <c r="C285" t="str">
        <f>"Outros profissionais da saúde, n.e. "</f>
        <v>Outros profissionais da saúde, n.e. </v>
      </c>
    </row>
    <row r="286" spans="1:3" ht="15">
      <c r="A286">
        <v>5</v>
      </c>
      <c r="B286" t="str">
        <f>"2269.1"</f>
        <v>2269.1</v>
      </c>
      <c r="C286" t="str">
        <f>"Terapeuta ocupacional"</f>
        <v>Terapeuta ocupacional</v>
      </c>
    </row>
    <row r="287" spans="1:3" ht="15">
      <c r="A287">
        <v>5</v>
      </c>
      <c r="B287" t="str">
        <f>"2269.2"</f>
        <v>2269.2</v>
      </c>
      <c r="C287" t="str">
        <f>"Outros profissionais da saúde diversos, n.e. "</f>
        <v>Outros profissionais da saúde diversos, n.e. </v>
      </c>
    </row>
    <row r="288" spans="1:3" ht="15">
      <c r="A288">
        <v>2</v>
      </c>
      <c r="B288" t="str">
        <f>"23"</f>
        <v>23</v>
      </c>
      <c r="C288" t="str">
        <f>"Professores"</f>
        <v>Professores</v>
      </c>
    </row>
    <row r="289" spans="1:3" ht="15">
      <c r="A289">
        <v>3</v>
      </c>
      <c r="B289" t="str">
        <f>"231"</f>
        <v>231</v>
      </c>
      <c r="C289" t="str">
        <f>"Professor dos ensinos universitário e superior"</f>
        <v>Professor dos ensinos universitário e superior</v>
      </c>
    </row>
    <row r="290" spans="1:3" ht="15">
      <c r="A290">
        <v>4</v>
      </c>
      <c r="B290" t="str">
        <f>"2310"</f>
        <v>2310</v>
      </c>
      <c r="C290" t="str">
        <f>"Professor dos ensinos universitário e superior"</f>
        <v>Professor dos ensinos universitário e superior</v>
      </c>
    </row>
    <row r="291" spans="1:3" ht="15">
      <c r="A291">
        <v>5</v>
      </c>
      <c r="B291" t="str">
        <f>"2310.0"</f>
        <v>2310.0</v>
      </c>
      <c r="C291" t="str">
        <f>"Professor dos ensinos universitário e superior"</f>
        <v>Professor dos ensinos universitário e superior</v>
      </c>
    </row>
    <row r="292" spans="1:3" ht="15">
      <c r="A292">
        <v>3</v>
      </c>
      <c r="B292" t="str">
        <f>"232"</f>
        <v>232</v>
      </c>
      <c r="C292" t="str">
        <f>"Professor dos ensinos, tecnológico, artístico e profissional"</f>
        <v>Professor dos ensinos, tecnológico, artístico e profissional</v>
      </c>
    </row>
    <row r="293" spans="1:3" ht="15">
      <c r="A293">
        <v>4</v>
      </c>
      <c r="B293" t="str">
        <f>"2320"</f>
        <v>2320</v>
      </c>
      <c r="C293" t="str">
        <f>"Professor dos ensinos, tecnológico, artístico e profissional"</f>
        <v>Professor dos ensinos, tecnológico, artístico e profissional</v>
      </c>
    </row>
    <row r="294" spans="1:3" ht="15">
      <c r="A294">
        <v>5</v>
      </c>
      <c r="B294" t="str">
        <f>"2320.0"</f>
        <v>2320.0</v>
      </c>
      <c r="C294" t="str">
        <f>"Professor dos ensinos, tecnológico, artístico e profissional"</f>
        <v>Professor dos ensinos, tecnológico, artístico e profissional</v>
      </c>
    </row>
    <row r="295" spans="1:3" ht="15">
      <c r="A295">
        <v>3</v>
      </c>
      <c r="B295" t="str">
        <f>"233"</f>
        <v>233</v>
      </c>
      <c r="C295" t="str">
        <f>"Professor dos ensinos básico (2º e 3º ciclos) e secundário"</f>
        <v>Professor dos ensinos básico (2º e 3º ciclos) e secundário</v>
      </c>
    </row>
    <row r="296" spans="1:3" ht="15">
      <c r="A296">
        <v>4</v>
      </c>
      <c r="B296" t="str">
        <f>"2330"</f>
        <v>2330</v>
      </c>
      <c r="C296" t="str">
        <f>"Professor dos ensinos básico (2º e 3º ciclos) e secundário"</f>
        <v>Professor dos ensinos básico (2º e 3º ciclos) e secundário</v>
      </c>
    </row>
    <row r="297" spans="1:3" ht="15">
      <c r="A297">
        <v>5</v>
      </c>
      <c r="B297" t="str">
        <f>"2330.0"</f>
        <v>2330.0</v>
      </c>
      <c r="C297" t="str">
        <f>"Professor dos ensinos básico (2º e 3º ciclos) e secundário"</f>
        <v>Professor dos ensinos básico (2º e 3º ciclos) e secundário</v>
      </c>
    </row>
    <row r="298" spans="1:3" ht="15">
      <c r="A298">
        <v>3</v>
      </c>
      <c r="B298" t="str">
        <f>"234"</f>
        <v>234</v>
      </c>
      <c r="C298" t="str">
        <f>"Professores dos ensinos básico (1º ciclo) e educadores de infância"</f>
        <v>Professores dos ensinos básico (1º ciclo) e educadores de infância</v>
      </c>
    </row>
    <row r="299" spans="1:3" ht="15">
      <c r="A299">
        <v>4</v>
      </c>
      <c r="B299" t="str">
        <f>"2341"</f>
        <v>2341</v>
      </c>
      <c r="C299" t="str">
        <f>"Professor do ensino básico (1º ciclo) "</f>
        <v>Professor do ensino básico (1º ciclo) </v>
      </c>
    </row>
    <row r="300" spans="1:3" ht="15">
      <c r="A300">
        <v>5</v>
      </c>
      <c r="B300" t="str">
        <f>"2341.0"</f>
        <v>2341.0</v>
      </c>
      <c r="C300" t="str">
        <f>"Professor do ensino básico (1º ciclo) "</f>
        <v>Professor do ensino básico (1º ciclo) </v>
      </c>
    </row>
    <row r="301" spans="1:3" ht="15">
      <c r="A301">
        <v>4</v>
      </c>
      <c r="B301" t="str">
        <f>"2342"</f>
        <v>2342</v>
      </c>
      <c r="C301" t="str">
        <f>"Educador de infância "</f>
        <v>Educador de infância </v>
      </c>
    </row>
    <row r="302" spans="1:3" ht="15">
      <c r="A302">
        <v>5</v>
      </c>
      <c r="B302" t="str">
        <f>"2342.0"</f>
        <v>2342.0</v>
      </c>
      <c r="C302" t="str">
        <f>"Educador de infância "</f>
        <v>Educador de infância </v>
      </c>
    </row>
    <row r="303" spans="1:3" ht="15">
      <c r="A303">
        <v>3</v>
      </c>
      <c r="B303" t="str">
        <f>"235"</f>
        <v>235</v>
      </c>
      <c r="C303" t="str">
        <f>"Outros especialistas do ensino"</f>
        <v>Outros especialistas do ensino</v>
      </c>
    </row>
    <row r="304" spans="1:3" ht="15">
      <c r="A304">
        <v>4</v>
      </c>
      <c r="B304" t="str">
        <f>"2351"</f>
        <v>2351</v>
      </c>
      <c r="C304" t="str">
        <f>"Especialista em métodos de ensino "</f>
        <v>Especialista em métodos de ensino </v>
      </c>
    </row>
    <row r="305" spans="1:3" ht="15">
      <c r="A305">
        <v>5</v>
      </c>
      <c r="B305" t="str">
        <f>"2351.0"</f>
        <v>2351.0</v>
      </c>
      <c r="C305" t="str">
        <f>"Especialista em métodos de ensino "</f>
        <v>Especialista em métodos de ensino </v>
      </c>
    </row>
    <row r="306" spans="1:3" ht="15">
      <c r="A306">
        <v>4</v>
      </c>
      <c r="B306" t="str">
        <f>"2352"</f>
        <v>2352</v>
      </c>
      <c r="C306" t="str">
        <f>"Professor do ensino especial"</f>
        <v>Professor do ensino especial</v>
      </c>
    </row>
    <row r="307" spans="1:3" ht="15">
      <c r="A307">
        <v>5</v>
      </c>
      <c r="B307" t="str">
        <f>"2352.0"</f>
        <v>2352.0</v>
      </c>
      <c r="C307" t="str">
        <f>"Professor do ensino especial"</f>
        <v>Professor do ensino especial</v>
      </c>
    </row>
    <row r="308" spans="1:3" ht="15">
      <c r="A308">
        <v>4</v>
      </c>
      <c r="B308" t="str">
        <f>"2353"</f>
        <v>2353</v>
      </c>
      <c r="C308" t="str">
        <f>"Outros professores de línguas "</f>
        <v>Outros professores de línguas </v>
      </c>
    </row>
    <row r="309" spans="1:3" ht="15">
      <c r="A309">
        <v>5</v>
      </c>
      <c r="B309" t="str">
        <f>"2353.0"</f>
        <v>2353.0</v>
      </c>
      <c r="C309" t="str">
        <f>"Outros professores de línguas "</f>
        <v>Outros professores de línguas </v>
      </c>
    </row>
    <row r="310" spans="1:3" ht="15">
      <c r="A310">
        <v>4</v>
      </c>
      <c r="B310" t="str">
        <f>"2354"</f>
        <v>2354</v>
      </c>
      <c r="C310" t="str">
        <f>"Outros professores de música"</f>
        <v>Outros professores de música</v>
      </c>
    </row>
    <row r="311" spans="1:3" ht="15">
      <c r="A311">
        <v>5</v>
      </c>
      <c r="B311" t="str">
        <f>"2354.0"</f>
        <v>2354.0</v>
      </c>
      <c r="C311" t="str">
        <f>"Outros professores de música "</f>
        <v>Outros professores de música </v>
      </c>
    </row>
    <row r="312" spans="1:3" ht="15">
      <c r="A312">
        <v>4</v>
      </c>
      <c r="B312" t="str">
        <f>"2355"</f>
        <v>2355</v>
      </c>
      <c r="C312" t="str">
        <f>"Outros professores de arte "</f>
        <v>Outros professores de arte </v>
      </c>
    </row>
    <row r="313" spans="1:3" ht="15">
      <c r="A313">
        <v>5</v>
      </c>
      <c r="B313" t="str">
        <f>"2355.0"</f>
        <v>2355.0</v>
      </c>
      <c r="C313" t="str">
        <f>"Outros professores de arte "</f>
        <v>Outros professores de arte </v>
      </c>
    </row>
    <row r="314" spans="1:3" ht="15">
      <c r="A314">
        <v>4</v>
      </c>
      <c r="B314" t="str">
        <f>"2356"</f>
        <v>2356</v>
      </c>
      <c r="C314" t="str">
        <f>"Formador em tecnologias de informação"</f>
        <v>Formador em tecnologias de informação</v>
      </c>
    </row>
    <row r="315" spans="1:3" ht="15">
      <c r="A315">
        <v>5</v>
      </c>
      <c r="B315" t="str">
        <f>"2356.0"</f>
        <v>2356.0</v>
      </c>
      <c r="C315" t="str">
        <f>"Formador em tecnologias de informação"</f>
        <v>Formador em tecnologias de informação</v>
      </c>
    </row>
    <row r="316" spans="1:3" ht="15">
      <c r="A316">
        <v>4</v>
      </c>
      <c r="B316" t="str">
        <f>"2359"</f>
        <v>2359</v>
      </c>
      <c r="C316" t="str">
        <f>"Outros especialistas do ensino, n.e. "</f>
        <v>Outros especialistas do ensino, n.e. </v>
      </c>
    </row>
    <row r="317" spans="1:3" ht="15">
      <c r="A317">
        <v>5</v>
      </c>
      <c r="B317" t="str">
        <f>"2359.0"</f>
        <v>2359.0</v>
      </c>
      <c r="C317" t="str">
        <f>"Outros especialistas do ensino, n.e. "</f>
        <v>Outros especialistas do ensino, n.e. </v>
      </c>
    </row>
    <row r="318" spans="1:3" ht="15">
      <c r="A318">
        <v>2</v>
      </c>
      <c r="B318" t="str">
        <f>"24"</f>
        <v>24</v>
      </c>
      <c r="C318" t="str">
        <f>"Especialistas em finanças, contabilidade, organização administrativa, relações públicas e comerciais "</f>
        <v>Especialistas em finanças, contabilidade, organização administrativa, relações públicas e comerciais </v>
      </c>
    </row>
    <row r="319" spans="1:3" ht="15">
      <c r="A319">
        <v>3</v>
      </c>
      <c r="B319" t="str">
        <f>"241"</f>
        <v>241</v>
      </c>
      <c r="C319" t="str">
        <f>"Especialistas em finanças e contabilidade"</f>
        <v>Especialistas em finanças e contabilidade</v>
      </c>
    </row>
    <row r="320" spans="1:3" ht="15">
      <c r="A320">
        <v>4</v>
      </c>
      <c r="B320" t="str">
        <f>"2411"</f>
        <v>2411</v>
      </c>
      <c r="C320" t="str">
        <f>"Contabilista, auditor, revisor oficial de contas e similares "</f>
        <v>Contabilista, auditor, revisor oficial de contas e similares </v>
      </c>
    </row>
    <row r="321" spans="1:3" ht="15">
      <c r="A321">
        <v>5</v>
      </c>
      <c r="B321" t="str">
        <f>"2411.0"</f>
        <v>2411.0</v>
      </c>
      <c r="C321" t="str">
        <f>"Contabilista, auditor, revisor oficial de contas e similares "</f>
        <v>Contabilista, auditor, revisor oficial de contas e similares </v>
      </c>
    </row>
    <row r="322" spans="1:3" ht="15">
      <c r="A322">
        <v>4</v>
      </c>
      <c r="B322" t="str">
        <f>"2412"</f>
        <v>2412</v>
      </c>
      <c r="C322" t="str">
        <f>"Consultor financeiro e de investimentos"</f>
        <v>Consultor financeiro e de investimentos</v>
      </c>
    </row>
    <row r="323" spans="1:3" ht="15">
      <c r="A323">
        <v>5</v>
      </c>
      <c r="B323" t="str">
        <f>"2412.0"</f>
        <v>2412.0</v>
      </c>
      <c r="C323" t="str">
        <f>"Consultor financeiro e de investimentos"</f>
        <v>Consultor financeiro e de investimentos</v>
      </c>
    </row>
    <row r="324" spans="1:3" ht="15">
      <c r="A324">
        <v>4</v>
      </c>
      <c r="B324" t="str">
        <f>"2413"</f>
        <v>2413</v>
      </c>
      <c r="C324" t="str">
        <f>"Analista financeiro "</f>
        <v>Analista financeiro </v>
      </c>
    </row>
    <row r="325" spans="1:3" ht="15">
      <c r="A325">
        <v>5</v>
      </c>
      <c r="B325" t="str">
        <f>"2413.0"</f>
        <v>2413.0</v>
      </c>
      <c r="C325" t="str">
        <f>"Analista financeiro "</f>
        <v>Analista financeiro </v>
      </c>
    </row>
    <row r="326" spans="1:3" ht="15">
      <c r="A326">
        <v>3</v>
      </c>
      <c r="B326" t="str">
        <f>"242"</f>
        <v>242</v>
      </c>
      <c r="C326" t="str">
        <f>"Especialistas em organização administrativa "</f>
        <v>Especialistas em organização administrativa </v>
      </c>
    </row>
    <row r="327" spans="1:3" ht="15">
      <c r="A327">
        <v>4</v>
      </c>
      <c r="B327" t="str">
        <f>"2421"</f>
        <v>2421</v>
      </c>
      <c r="C327" t="str">
        <f>"Analista em gestão e organização "</f>
        <v>Analista em gestão e organização </v>
      </c>
    </row>
    <row r="328" spans="1:3" ht="15">
      <c r="A328">
        <v>5</v>
      </c>
      <c r="B328" t="str">
        <f>"2421.0"</f>
        <v>2421.0</v>
      </c>
      <c r="C328" t="str">
        <f>"Analista em gestão e organização "</f>
        <v>Analista em gestão e organização </v>
      </c>
    </row>
    <row r="329" spans="1:3" ht="15">
      <c r="A329">
        <v>4</v>
      </c>
      <c r="B329" t="str">
        <f>"2422"</f>
        <v>2422</v>
      </c>
      <c r="C329" t="str">
        <f>"Especialista em políticas da administração"</f>
        <v>Especialista em políticas da administração</v>
      </c>
    </row>
    <row r="330" spans="1:3" ht="15">
      <c r="A330">
        <v>5</v>
      </c>
      <c r="B330" t="str">
        <f>"2422.0"</f>
        <v>2422.0</v>
      </c>
      <c r="C330" t="str">
        <f>"Especialista em políticas da administração"</f>
        <v>Especialista em políticas da administração</v>
      </c>
    </row>
    <row r="331" spans="1:3" ht="15">
      <c r="A331">
        <v>4</v>
      </c>
      <c r="B331" t="str">
        <f>"2423"</f>
        <v>2423</v>
      </c>
      <c r="C331" t="str">
        <f>"Especialista em recursos humanos"</f>
        <v>Especialista em recursos humanos</v>
      </c>
    </row>
    <row r="332" spans="1:3" ht="15">
      <c r="A332">
        <v>5</v>
      </c>
      <c r="B332" t="str">
        <f>"2423.0"</f>
        <v>2423.0</v>
      </c>
      <c r="C332" t="str">
        <f>"Especialista em recursos humanos"</f>
        <v>Especialista em recursos humanos</v>
      </c>
    </row>
    <row r="333" spans="1:3" ht="15">
      <c r="A333">
        <v>4</v>
      </c>
      <c r="B333" t="str">
        <f>"2424"</f>
        <v>2424</v>
      </c>
      <c r="C333" t="str">
        <f>"Especialista em formação e desenvolvimento de recursos humanos"</f>
        <v>Especialista em formação e desenvolvimento de recursos humanos</v>
      </c>
    </row>
    <row r="334" spans="1:3" ht="15">
      <c r="A334">
        <v>5</v>
      </c>
      <c r="B334" t="str">
        <f>"2424.0"</f>
        <v>2424.0</v>
      </c>
      <c r="C334" t="str">
        <f>"Especialista em formação e desenvolvimento de recursos humanos"</f>
        <v>Especialista em formação e desenvolvimento de recursos humanos</v>
      </c>
    </row>
    <row r="335" spans="1:3" ht="15">
      <c r="A335">
        <v>3</v>
      </c>
      <c r="B335" t="str">
        <f>"243"</f>
        <v>243</v>
      </c>
      <c r="C335" t="str">
        <f>"Especialistas em vendas, marketing e relações públicas "</f>
        <v>Especialistas em vendas, marketing e relações públicas </v>
      </c>
    </row>
    <row r="336" spans="1:3" ht="15">
      <c r="A336">
        <v>4</v>
      </c>
      <c r="B336" t="str">
        <f>"2431"</f>
        <v>2431</v>
      </c>
      <c r="C336" t="str">
        <f>"Especialista em publicidade e marketing "</f>
        <v>Especialista em publicidade e marketing </v>
      </c>
    </row>
    <row r="337" spans="1:3" ht="15">
      <c r="A337">
        <v>5</v>
      </c>
      <c r="B337" t="str">
        <f>"2431.0"</f>
        <v>2431.0</v>
      </c>
      <c r="C337" t="str">
        <f>"Especialista em publicidade e marketing "</f>
        <v>Especialista em publicidade e marketing </v>
      </c>
    </row>
    <row r="338" spans="1:3" ht="15">
      <c r="A338">
        <v>4</v>
      </c>
      <c r="B338" t="str">
        <f>"2432"</f>
        <v>2432</v>
      </c>
      <c r="C338" t="str">
        <f>"Especialista em relações públicas"</f>
        <v>Especialista em relações públicas</v>
      </c>
    </row>
    <row r="339" spans="1:3" ht="15">
      <c r="A339">
        <v>5</v>
      </c>
      <c r="B339" t="str">
        <f>"2432.0"</f>
        <v>2432.0</v>
      </c>
      <c r="C339" t="str">
        <f>"Especialista em relações públicas"</f>
        <v>Especialista em relações públicas</v>
      </c>
    </row>
    <row r="340" spans="1:3" ht="15">
      <c r="A340">
        <v>4</v>
      </c>
      <c r="B340" t="str">
        <f>"2433"</f>
        <v>2433</v>
      </c>
      <c r="C340" t="str">
        <f>"Especialistas em vendas de material técnico e médico (excepto TIC)"</f>
        <v>Especialistas em vendas de material técnico e médico (excepto TIC)</v>
      </c>
    </row>
    <row r="341" spans="1:3" ht="15">
      <c r="A341">
        <v>5</v>
      </c>
      <c r="B341" t="str">
        <f>"2433.1"</f>
        <v>2433.1</v>
      </c>
      <c r="C341" t="str">
        <f>"Delegado de informação médica"</f>
        <v>Delegado de informação médica</v>
      </c>
    </row>
    <row r="342" spans="1:3" ht="15">
      <c r="A342">
        <v>5</v>
      </c>
      <c r="B342" t="str">
        <f>"2433.2"</f>
        <v>2433.2</v>
      </c>
      <c r="C342" t="str">
        <f>"Outros especialistas em venda de material técnico e médico (excepto TIC)"</f>
        <v>Outros especialistas em venda de material técnico e médico (excepto TIC)</v>
      </c>
    </row>
    <row r="343" spans="1:3" ht="15">
      <c r="A343">
        <v>4</v>
      </c>
      <c r="B343" t="str">
        <f>"2434"</f>
        <v>2434</v>
      </c>
      <c r="C343" t="str">
        <f>"Especialista em vendas de tecnologias de informação e comunicação (TIC)"</f>
        <v>Especialista em vendas de tecnologias de informação e comunicação (TIC)</v>
      </c>
    </row>
    <row r="344" spans="1:3" ht="15">
      <c r="A344">
        <v>5</v>
      </c>
      <c r="B344" t="str">
        <f>"2434.0"</f>
        <v>2434.0</v>
      </c>
      <c r="C344" t="str">
        <f>"Especialista em vendas de tecnologias de informação e comunicação (TIC)"</f>
        <v>Especialista em vendas de tecnologias de informação e comunicação (TIC)</v>
      </c>
    </row>
    <row r="345" spans="1:3" ht="15">
      <c r="A345">
        <v>2</v>
      </c>
      <c r="B345" t="str">
        <f>"25"</f>
        <v>25</v>
      </c>
      <c r="C345" t="str">
        <f>"Especialistas em tecnologias de informação e comunicação (TIC)"</f>
        <v>Especialistas em tecnologias de informação e comunicação (TIC)</v>
      </c>
    </row>
    <row r="346" spans="1:3" ht="15">
      <c r="A346">
        <v>3</v>
      </c>
      <c r="B346" t="str">
        <f>"251"</f>
        <v>251</v>
      </c>
      <c r="C346" t="str">
        <f>"Analistas e programadores, de software, Web e de aplicações "</f>
        <v>Analistas e programadores, de software, Web e de aplicações </v>
      </c>
    </row>
    <row r="347" spans="1:3" ht="15">
      <c r="A347">
        <v>4</v>
      </c>
      <c r="B347" t="str">
        <f>"2511"</f>
        <v>2511</v>
      </c>
      <c r="C347" t="str">
        <f>"Analista de sistemas"</f>
        <v>Analista de sistemas</v>
      </c>
    </row>
    <row r="348" spans="1:3" ht="15">
      <c r="A348">
        <v>5</v>
      </c>
      <c r="B348" t="str">
        <f>"2511.0"</f>
        <v>2511.0</v>
      </c>
      <c r="C348" t="str">
        <f>"Analista de sistemas"</f>
        <v>Analista de sistemas</v>
      </c>
    </row>
    <row r="349" spans="1:3" ht="15">
      <c r="A349">
        <v>4</v>
      </c>
      <c r="B349" t="str">
        <f>"2512"</f>
        <v>2512</v>
      </c>
      <c r="C349" t="str">
        <f>"Programador de software"</f>
        <v>Programador de software</v>
      </c>
    </row>
    <row r="350" spans="1:3" ht="15">
      <c r="A350">
        <v>5</v>
      </c>
      <c r="B350" t="str">
        <f>"2512.0"</f>
        <v>2512.0</v>
      </c>
      <c r="C350" t="str">
        <f>"Programador de software"</f>
        <v>Programador de software</v>
      </c>
    </row>
    <row r="351" spans="1:3" ht="15">
      <c r="A351">
        <v>4</v>
      </c>
      <c r="B351" t="str">
        <f>"2513"</f>
        <v>2513</v>
      </c>
      <c r="C351" t="str">
        <f>"Programador Web e de multimédia "</f>
        <v>Programador Web e de multimédia </v>
      </c>
    </row>
    <row r="352" spans="1:3" ht="15">
      <c r="A352">
        <v>5</v>
      </c>
      <c r="B352" t="str">
        <f>"2513.0"</f>
        <v>2513.0</v>
      </c>
      <c r="C352" t="str">
        <f>"Programador Web e de multimédia "</f>
        <v>Programador Web e de multimédia </v>
      </c>
    </row>
    <row r="353" spans="1:3" ht="15">
      <c r="A353">
        <v>4</v>
      </c>
      <c r="B353" t="str">
        <f>"2514"</f>
        <v>2514</v>
      </c>
      <c r="C353" t="str">
        <f>"Programador de aplicações"</f>
        <v>Programador de aplicações</v>
      </c>
    </row>
    <row r="354" spans="1:3" ht="15">
      <c r="A354">
        <v>5</v>
      </c>
      <c r="B354" t="str">
        <f>"2514.0"</f>
        <v>2514.0</v>
      </c>
      <c r="C354" t="str">
        <f>"Programador de aplicações"</f>
        <v>Programador de aplicações</v>
      </c>
    </row>
    <row r="355" spans="1:3" ht="15">
      <c r="A355">
        <v>4</v>
      </c>
      <c r="B355" t="str">
        <f>"2519"</f>
        <v>2519</v>
      </c>
      <c r="C355" t="str">
        <f>"Outros analistas e programadores, de software e aplicações"</f>
        <v>Outros analistas e programadores, de software e aplicações</v>
      </c>
    </row>
    <row r="356" spans="1:3" ht="15">
      <c r="A356">
        <v>5</v>
      </c>
      <c r="B356" t="str">
        <f>"2519.0"</f>
        <v>2519.0</v>
      </c>
      <c r="C356" t="str">
        <f>"Outros analistas e programadores, de software e aplicações"</f>
        <v>Outros analistas e programadores, de software e aplicações</v>
      </c>
    </row>
    <row r="357" spans="1:3" ht="15">
      <c r="A357">
        <v>3</v>
      </c>
      <c r="B357" t="str">
        <f>"252"</f>
        <v>252</v>
      </c>
      <c r="C357" t="str">
        <f>"Especialistas em base de dados e redes"</f>
        <v>Especialistas em base de dados e redes</v>
      </c>
    </row>
    <row r="358" spans="1:3" ht="15">
      <c r="A358">
        <v>4</v>
      </c>
      <c r="B358" t="str">
        <f>"2521"</f>
        <v>2521</v>
      </c>
      <c r="C358" t="str">
        <f>"Administrador e especialista de concepção de base de dados "</f>
        <v>Administrador e especialista de concepção de base de dados </v>
      </c>
    </row>
    <row r="359" spans="1:3" ht="15">
      <c r="A359">
        <v>5</v>
      </c>
      <c r="B359" t="str">
        <f>"2521.0"</f>
        <v>2521.0</v>
      </c>
      <c r="C359" t="str">
        <f>"Administrador e especialista de concepção de base de dados "</f>
        <v>Administrador e especialista de concepção de base de dados </v>
      </c>
    </row>
    <row r="360" spans="1:3" ht="15">
      <c r="A360">
        <v>4</v>
      </c>
      <c r="B360" t="str">
        <f>"2522"</f>
        <v>2522</v>
      </c>
      <c r="C360" t="str">
        <f>"Administrador de sistemas "</f>
        <v>Administrador de sistemas </v>
      </c>
    </row>
    <row r="361" spans="1:3" ht="15">
      <c r="A361">
        <v>5</v>
      </c>
      <c r="B361" t="str">
        <f>"2522.0"</f>
        <v>2522.0</v>
      </c>
      <c r="C361" t="str">
        <f>"Administrador de sistemas "</f>
        <v>Administrador de sistemas </v>
      </c>
    </row>
    <row r="362" spans="1:3" ht="15">
      <c r="A362">
        <v>4</v>
      </c>
      <c r="B362" t="str">
        <f>"2523"</f>
        <v>2523</v>
      </c>
      <c r="C362" t="str">
        <f>"Especialista de redes informáticas"</f>
        <v>Especialista de redes informáticas</v>
      </c>
    </row>
    <row r="363" spans="1:3" ht="15">
      <c r="A363">
        <v>5</v>
      </c>
      <c r="B363" t="str">
        <f>"2523.0"</f>
        <v>2523.0</v>
      </c>
      <c r="C363" t="str">
        <f>"Especialista de redes informáticas"</f>
        <v>Especialista de redes informáticas</v>
      </c>
    </row>
    <row r="364" spans="1:3" ht="15">
      <c r="A364">
        <v>4</v>
      </c>
      <c r="B364" t="str">
        <f>"2529"</f>
        <v>2529</v>
      </c>
      <c r="C364" t="str">
        <f>"Outros especialistas em base de dados e redes"</f>
        <v>Outros especialistas em base de dados e redes</v>
      </c>
    </row>
    <row r="365" spans="1:3" ht="15">
      <c r="A365">
        <v>5</v>
      </c>
      <c r="B365" t="str">
        <f>"2529.0"</f>
        <v>2529.0</v>
      </c>
      <c r="C365" t="str">
        <f>"Outros especialistas em base de dados e redes"</f>
        <v>Outros especialistas em base de dados e redes</v>
      </c>
    </row>
    <row r="366" spans="1:3" ht="15">
      <c r="A366">
        <v>2</v>
      </c>
      <c r="B366" t="str">
        <f>"26"</f>
        <v>26</v>
      </c>
      <c r="C366" t="str">
        <f>"Especialistas em assuntos jurídicos, sociais, artísticos e culturais"</f>
        <v>Especialistas em assuntos jurídicos, sociais, artísticos e culturais</v>
      </c>
    </row>
    <row r="367" spans="1:3" ht="15">
      <c r="A367">
        <v>3</v>
      </c>
      <c r="B367" t="str">
        <f>"261"</f>
        <v>261</v>
      </c>
      <c r="C367" t="str">
        <f>"Especialistas em assuntos jurídicos"</f>
        <v>Especialistas em assuntos jurídicos</v>
      </c>
    </row>
    <row r="368" spans="1:3" ht="15">
      <c r="A368">
        <v>4</v>
      </c>
      <c r="B368" t="str">
        <f>"2611"</f>
        <v>2611</v>
      </c>
      <c r="C368" t="str">
        <f>"Advogados e solicitadores  "</f>
        <v>Advogados e solicitadores  </v>
      </c>
    </row>
    <row r="369" spans="1:3" ht="15">
      <c r="A369">
        <v>5</v>
      </c>
      <c r="B369" t="str">
        <f>"2611.1"</f>
        <v>2611.1</v>
      </c>
      <c r="C369" t="str">
        <f>"Advogado"</f>
        <v>Advogado</v>
      </c>
    </row>
    <row r="370" spans="1:3" ht="15">
      <c r="A370">
        <v>5</v>
      </c>
      <c r="B370" t="str">
        <f>"2611.2"</f>
        <v>2611.2</v>
      </c>
      <c r="C370" t="str">
        <f>"Solicitador"</f>
        <v>Solicitador</v>
      </c>
    </row>
    <row r="371" spans="1:3" ht="15">
      <c r="A371">
        <v>4</v>
      </c>
      <c r="B371" t="str">
        <f>"2612"</f>
        <v>2612</v>
      </c>
      <c r="C371" t="str">
        <f>"Magistrado (Judicial e do Ministério Público)"</f>
        <v>Magistrado (Judicial e do Ministério Público)</v>
      </c>
    </row>
    <row r="372" spans="1:3" ht="15">
      <c r="A372">
        <v>5</v>
      </c>
      <c r="B372" t="str">
        <f>"2612.0"</f>
        <v>2612.0</v>
      </c>
      <c r="C372" t="str">
        <f>"Magistrado (Judicial e do Ministério Público)"</f>
        <v>Magistrado (Judicial e do Ministério Público)</v>
      </c>
    </row>
    <row r="373" spans="1:3" ht="15">
      <c r="A373">
        <v>4</v>
      </c>
      <c r="B373" t="str">
        <f>"2619"</f>
        <v>2619</v>
      </c>
      <c r="C373" t="str">
        <f>"Outros especialistas em assuntos jurídicos"</f>
        <v>Outros especialistas em assuntos jurídicos</v>
      </c>
    </row>
    <row r="374" spans="1:3" ht="15">
      <c r="A374">
        <v>5</v>
      </c>
      <c r="B374" t="str">
        <f>"2619.1"</f>
        <v>2619.1</v>
      </c>
      <c r="C374" t="str">
        <f>"Conservador dos registos civil, automóvel, comercial e predial "</f>
        <v>Conservador dos registos civil, automóvel, comercial e predial </v>
      </c>
    </row>
    <row r="375" spans="1:3" ht="15">
      <c r="A375">
        <v>5</v>
      </c>
      <c r="B375" t="str">
        <f>"2619.2"</f>
        <v>2619.2</v>
      </c>
      <c r="C375" t="str">
        <f>"Notário"</f>
        <v>Notário</v>
      </c>
    </row>
    <row r="376" spans="1:3" ht="15">
      <c r="A376">
        <v>5</v>
      </c>
      <c r="B376" t="str">
        <f>"2619.3"</f>
        <v>2619.3</v>
      </c>
      <c r="C376" t="str">
        <f>"Outros especialistas em assuntos jurídicos, n.e."</f>
        <v>Outros especialistas em assuntos jurídicos, n.e.</v>
      </c>
    </row>
    <row r="377" spans="1:3" ht="15">
      <c r="A377">
        <v>3</v>
      </c>
      <c r="B377" t="str">
        <f>"262"</f>
        <v>262</v>
      </c>
      <c r="C377" t="str">
        <f>"Bibliotecários, arquivistas e curadores de museus e similares"</f>
        <v>Bibliotecários, arquivistas e curadores de museus e similares</v>
      </c>
    </row>
    <row r="378" spans="1:3" ht="15">
      <c r="A378">
        <v>4</v>
      </c>
      <c r="B378" t="str">
        <f>"2621"</f>
        <v>2621</v>
      </c>
      <c r="C378" t="str">
        <f>"Arquivistas e curadores de museus"</f>
        <v>Arquivistas e curadores de museus</v>
      </c>
    </row>
    <row r="379" spans="1:3" ht="15">
      <c r="A379">
        <v>5</v>
      </c>
      <c r="B379" t="str">
        <f>"2621.1"</f>
        <v>2621.1</v>
      </c>
      <c r="C379" t="str">
        <f>"Arquivista"</f>
        <v>Arquivista</v>
      </c>
    </row>
    <row r="380" spans="1:3" ht="15">
      <c r="A380">
        <v>5</v>
      </c>
      <c r="B380" t="str">
        <f>"2621.2"</f>
        <v>2621.2</v>
      </c>
      <c r="C380" t="str">
        <f>"Curador de museus "</f>
        <v>Curador de museus </v>
      </c>
    </row>
    <row r="381" spans="1:3" ht="15">
      <c r="A381">
        <v>4</v>
      </c>
      <c r="B381" t="str">
        <f>"2622"</f>
        <v>2622</v>
      </c>
      <c r="C381" t="str">
        <f>"Bibliotecários e outros especialistas de informação relacionados"</f>
        <v>Bibliotecários e outros especialistas de informação relacionados</v>
      </c>
    </row>
    <row r="382" spans="1:3" ht="15">
      <c r="A382">
        <v>5</v>
      </c>
      <c r="B382" t="str">
        <f>"2622.0"</f>
        <v>2622.0</v>
      </c>
      <c r="C382" t="str">
        <f>"Bibliotecários e outros especialistas de informação relacionados"</f>
        <v>Bibliotecários e outros especialistas de informação relacionados</v>
      </c>
    </row>
    <row r="383" spans="1:3" ht="15">
      <c r="A383">
        <v>3</v>
      </c>
      <c r="B383" t="str">
        <f>"263"</f>
        <v>263</v>
      </c>
      <c r="C383" t="str">
        <f>"Especialistas em ciências sociais e religiosas"</f>
        <v>Especialistas em ciências sociais e religiosas</v>
      </c>
    </row>
    <row r="384" spans="1:3" ht="15">
      <c r="A384">
        <v>4</v>
      </c>
      <c r="B384" t="str">
        <f>"2631"</f>
        <v>2631</v>
      </c>
      <c r="C384" t="str">
        <f>"Economista "</f>
        <v>Economista </v>
      </c>
    </row>
    <row r="385" spans="1:3" ht="15">
      <c r="A385">
        <v>5</v>
      </c>
      <c r="B385" t="str">
        <f>"2631.0"</f>
        <v>2631.0</v>
      </c>
      <c r="C385" t="str">
        <f>"Economista "</f>
        <v>Economista </v>
      </c>
    </row>
    <row r="386" spans="1:3" ht="15">
      <c r="A386">
        <v>4</v>
      </c>
      <c r="B386" t="str">
        <f>"2632"</f>
        <v>2632</v>
      </c>
      <c r="C386" t="str">
        <f>"Sociólogos, antropólogos e especialistas relacionados"</f>
        <v>Sociólogos, antropólogos e especialistas relacionados</v>
      </c>
    </row>
    <row r="387" spans="1:3" ht="15">
      <c r="A387">
        <v>5</v>
      </c>
      <c r="B387" t="str">
        <f>"2632.1"</f>
        <v>2632.1</v>
      </c>
      <c r="C387" t="str">
        <f>"Sociólogo"</f>
        <v>Sociólogo</v>
      </c>
    </row>
    <row r="388" spans="1:3" ht="15">
      <c r="A388">
        <v>5</v>
      </c>
      <c r="B388" t="str">
        <f>"2632.2"</f>
        <v>2632.2</v>
      </c>
      <c r="C388" t="str">
        <f>"Geógrafo"</f>
        <v>Geógrafo</v>
      </c>
    </row>
    <row r="389" spans="1:3" ht="15">
      <c r="A389">
        <v>5</v>
      </c>
      <c r="B389" t="str">
        <f>"2632.3"</f>
        <v>2632.3</v>
      </c>
      <c r="C389" t="str">
        <f>"Arqueólogo "</f>
        <v>Arqueólogo </v>
      </c>
    </row>
    <row r="390" spans="1:3" ht="15">
      <c r="A390">
        <v>5</v>
      </c>
      <c r="B390" t="str">
        <f>"2632.4"</f>
        <v>2632.4</v>
      </c>
      <c r="C390" t="str">
        <f>"Antropólogo e similares"</f>
        <v>Antropólogo e similares</v>
      </c>
    </row>
    <row r="391" spans="1:3" ht="15">
      <c r="A391">
        <v>4</v>
      </c>
      <c r="B391" t="str">
        <f>"2633"</f>
        <v>2633</v>
      </c>
      <c r="C391" t="str">
        <f>"Filósofos, historiadores e especialistas de ciências políticas "</f>
        <v>Filósofos, historiadores e especialistas de ciências políticas </v>
      </c>
    </row>
    <row r="392" spans="1:3" ht="15">
      <c r="A392">
        <v>5</v>
      </c>
      <c r="B392" t="str">
        <f>"2633.1"</f>
        <v>2633.1</v>
      </c>
      <c r="C392" t="str">
        <f>"Filósofo"</f>
        <v>Filósofo</v>
      </c>
    </row>
    <row r="393" spans="1:3" ht="15">
      <c r="A393">
        <v>5</v>
      </c>
      <c r="B393" t="str">
        <f>"2633.2"</f>
        <v>2633.2</v>
      </c>
      <c r="C393" t="str">
        <f>"Historiador "</f>
        <v>Historiador </v>
      </c>
    </row>
    <row r="394" spans="1:3" ht="15">
      <c r="A394">
        <v>5</v>
      </c>
      <c r="B394" t="str">
        <f>"2633.3"</f>
        <v>2633.3</v>
      </c>
      <c r="C394" t="str">
        <f>"Especialista em ciências políticas"</f>
        <v>Especialista em ciências políticas</v>
      </c>
    </row>
    <row r="395" spans="1:3" ht="15">
      <c r="A395">
        <v>4</v>
      </c>
      <c r="B395" t="str">
        <f>"2634"</f>
        <v>2634</v>
      </c>
      <c r="C395" t="str">
        <f>"Psicólogo "</f>
        <v>Psicólogo </v>
      </c>
    </row>
    <row r="396" spans="1:3" ht="15">
      <c r="A396">
        <v>5</v>
      </c>
      <c r="B396" t="str">
        <f>"2634.0"</f>
        <v>2634.0</v>
      </c>
      <c r="C396" t="str">
        <f>"Psicólogo "</f>
        <v>Psicólogo </v>
      </c>
    </row>
    <row r="397" spans="1:3" ht="15">
      <c r="A397">
        <v>4</v>
      </c>
      <c r="B397" t="str">
        <f>"2635"</f>
        <v>2635</v>
      </c>
      <c r="C397" t="str">
        <f>"Especialista do trabalho social "</f>
        <v>Especialista do trabalho social </v>
      </c>
    </row>
    <row r="398" spans="1:3" ht="15">
      <c r="A398">
        <v>5</v>
      </c>
      <c r="B398" t="str">
        <f>"2635.0"</f>
        <v>2635.0</v>
      </c>
      <c r="C398" t="str">
        <f>"Especialista do trabalho social "</f>
        <v>Especialista do trabalho social </v>
      </c>
    </row>
    <row r="399" spans="1:3" ht="15">
      <c r="A399">
        <v>4</v>
      </c>
      <c r="B399" t="str">
        <f>"2636"</f>
        <v>2636</v>
      </c>
      <c r="C399" t="str">
        <f>"Ministro de culto "</f>
        <v>Ministro de culto </v>
      </c>
    </row>
    <row r="400" spans="1:3" ht="15">
      <c r="A400">
        <v>5</v>
      </c>
      <c r="B400" t="str">
        <f>"2636.0"</f>
        <v>2636.0</v>
      </c>
      <c r="C400" t="str">
        <f>"Ministro de culto "</f>
        <v>Ministro de culto </v>
      </c>
    </row>
    <row r="401" spans="1:3" ht="15">
      <c r="A401">
        <v>3</v>
      </c>
      <c r="B401" t="str">
        <f>"264"</f>
        <v>264</v>
      </c>
      <c r="C401" t="str">
        <f>"Autores, jornalistas e linguistas"</f>
        <v>Autores, jornalistas e linguistas</v>
      </c>
    </row>
    <row r="402" spans="1:3" ht="15">
      <c r="A402">
        <v>4</v>
      </c>
      <c r="B402" t="str">
        <f>"2641"</f>
        <v>2641</v>
      </c>
      <c r="C402" t="str">
        <f>"Autor e escritor "</f>
        <v>Autor e escritor </v>
      </c>
    </row>
    <row r="403" spans="1:3" ht="15">
      <c r="A403">
        <v>5</v>
      </c>
      <c r="B403" t="str">
        <f>"2641.0"</f>
        <v>2641.0</v>
      </c>
      <c r="C403" t="str">
        <f>"Autor e escritor "</f>
        <v>Autor e escritor </v>
      </c>
    </row>
    <row r="404" spans="1:3" ht="15">
      <c r="A404">
        <v>4</v>
      </c>
      <c r="B404" t="str">
        <f>"2642"</f>
        <v>2642</v>
      </c>
      <c r="C404" t="str">
        <f>"Jornalista "</f>
        <v>Jornalista </v>
      </c>
    </row>
    <row r="405" spans="1:3" ht="15">
      <c r="A405">
        <v>5</v>
      </c>
      <c r="B405" t="str">
        <f>"2642.0"</f>
        <v>2642.0</v>
      </c>
      <c r="C405" t="str">
        <f>"Jornalista "</f>
        <v>Jornalista </v>
      </c>
    </row>
    <row r="406" spans="1:3" ht="15">
      <c r="A406">
        <v>4</v>
      </c>
      <c r="B406" t="str">
        <f>"2643"</f>
        <v>2643</v>
      </c>
      <c r="C406" t="str">
        <f>"Filólogos, tradutores, intérpretes e outros linguistas "</f>
        <v>Filólogos, tradutores, intérpretes e outros linguistas </v>
      </c>
    </row>
    <row r="407" spans="1:3" ht="15">
      <c r="A407">
        <v>5</v>
      </c>
      <c r="B407" t="str">
        <f>"2643.1"</f>
        <v>2643.1</v>
      </c>
      <c r="C407" t="str">
        <f>"Filólogo"</f>
        <v>Filólogo</v>
      </c>
    </row>
    <row r="408" spans="1:3" ht="15">
      <c r="A408">
        <v>5</v>
      </c>
      <c r="B408" t="str">
        <f>"2643.2"</f>
        <v>2643.2</v>
      </c>
      <c r="C408" t="str">
        <f>"Tradutor"</f>
        <v>Tradutor</v>
      </c>
    </row>
    <row r="409" spans="1:3" ht="15">
      <c r="A409">
        <v>5</v>
      </c>
      <c r="B409" t="str">
        <f>"2643.3"</f>
        <v>2643.3</v>
      </c>
      <c r="C409" t="str">
        <f>"Intérprete e outros linguistas"</f>
        <v>Intérprete e outros linguistas</v>
      </c>
    </row>
    <row r="410" spans="1:3" ht="15">
      <c r="A410">
        <v>3</v>
      </c>
      <c r="B410" t="str">
        <f>"265"</f>
        <v>265</v>
      </c>
      <c r="C410" t="str">
        <f>"Artistas criativos e das artes do espectáculo"</f>
        <v>Artistas criativos e das artes do espectáculo</v>
      </c>
    </row>
    <row r="411" spans="1:3" ht="15">
      <c r="A411">
        <v>4</v>
      </c>
      <c r="B411" t="str">
        <f>"2651"</f>
        <v>2651</v>
      </c>
      <c r="C411" t="str">
        <f>"Artistas de artes visuais (plásticas)"</f>
        <v>Artistas de artes visuais (plásticas)</v>
      </c>
    </row>
    <row r="412" spans="1:3" ht="15">
      <c r="A412">
        <v>5</v>
      </c>
      <c r="B412" t="str">
        <f>"2651.1"</f>
        <v>2651.1</v>
      </c>
      <c r="C412" t="str">
        <f>"Escultor"</f>
        <v>Escultor</v>
      </c>
    </row>
    <row r="413" spans="1:3" ht="15">
      <c r="A413">
        <v>5</v>
      </c>
      <c r="B413" t="str">
        <f>"2651.2"</f>
        <v>2651.2</v>
      </c>
      <c r="C413" t="str">
        <f>"Pintor de arte"</f>
        <v>Pintor de arte</v>
      </c>
    </row>
    <row r="414" spans="1:3" ht="15">
      <c r="A414">
        <v>5</v>
      </c>
      <c r="B414" t="str">
        <f>"2651.3"</f>
        <v>2651.3</v>
      </c>
      <c r="C414" t="str">
        <f>"Caricaturista"</f>
        <v>Caricaturista</v>
      </c>
    </row>
    <row r="415" spans="1:3" ht="15">
      <c r="A415">
        <v>5</v>
      </c>
      <c r="B415" t="str">
        <f>"2651.4"</f>
        <v>2651.4</v>
      </c>
      <c r="C415" t="str">
        <f>"Outros artistas de artes visuais"</f>
        <v>Outros artistas de artes visuais</v>
      </c>
    </row>
    <row r="416" spans="1:3" ht="15">
      <c r="A416">
        <v>4</v>
      </c>
      <c r="B416" t="str">
        <f>"2652"</f>
        <v>2652</v>
      </c>
      <c r="C416" t="str">
        <f>"Compositores, músicos e cantores "</f>
        <v>Compositores, músicos e cantores </v>
      </c>
    </row>
    <row r="417" spans="1:3" ht="15">
      <c r="A417">
        <v>5</v>
      </c>
      <c r="B417" t="str">
        <f>"2652.1"</f>
        <v>2652.1</v>
      </c>
      <c r="C417" t="str">
        <f>"Compositor "</f>
        <v>Compositor </v>
      </c>
    </row>
    <row r="418" spans="1:3" ht="15">
      <c r="A418">
        <v>5</v>
      </c>
      <c r="B418" t="str">
        <f>"2652.2"</f>
        <v>2652.2</v>
      </c>
      <c r="C418" t="str">
        <f>"Músico"</f>
        <v>Músico</v>
      </c>
    </row>
    <row r="419" spans="1:3" ht="15">
      <c r="A419">
        <v>5</v>
      </c>
      <c r="B419" t="str">
        <f>"2652.3"</f>
        <v>2652.3</v>
      </c>
      <c r="C419" t="str">
        <f>"Cantor"</f>
        <v>Cantor</v>
      </c>
    </row>
    <row r="420" spans="1:3" ht="15">
      <c r="A420">
        <v>4</v>
      </c>
      <c r="B420" t="str">
        <f>"2653"</f>
        <v>2653</v>
      </c>
      <c r="C420" t="str">
        <f>"Bailarinos e coreógrafos "</f>
        <v>Bailarinos e coreógrafos </v>
      </c>
    </row>
    <row r="421" spans="1:3" ht="15">
      <c r="A421">
        <v>5</v>
      </c>
      <c r="B421" t="str">
        <f>"2653.1"</f>
        <v>2653.1</v>
      </c>
      <c r="C421" t="str">
        <f>"Bailarino"</f>
        <v>Bailarino</v>
      </c>
    </row>
    <row r="422" spans="1:3" ht="15">
      <c r="A422">
        <v>5</v>
      </c>
      <c r="B422" t="str">
        <f>"2653.2"</f>
        <v>2653.2</v>
      </c>
      <c r="C422" t="str">
        <f>"Coreógrafo"</f>
        <v>Coreógrafo</v>
      </c>
    </row>
    <row r="423" spans="1:3" ht="15">
      <c r="A423">
        <v>4</v>
      </c>
      <c r="B423" t="str">
        <f>"2654"</f>
        <v>2654</v>
      </c>
      <c r="C423" t="str">
        <f>"Realizadores, encenadores, produtores e directores relacionados, de cinema, teatro, televisão e rádio"</f>
        <v>Realizadores, encenadores, produtores e directores relacionados, de cinema, teatro, televisão e rádio</v>
      </c>
    </row>
    <row r="424" spans="1:3" ht="15">
      <c r="A424">
        <v>5</v>
      </c>
      <c r="B424" t="str">
        <f>"2654.1"</f>
        <v>2654.1</v>
      </c>
      <c r="C424" t="str">
        <f>"Realizador de cinema e teatro"</f>
        <v>Realizador de cinema e teatro</v>
      </c>
    </row>
    <row r="425" spans="1:3" ht="15">
      <c r="A425">
        <v>5</v>
      </c>
      <c r="B425" t="str">
        <f>"2654.2"</f>
        <v>2654.2</v>
      </c>
      <c r="C425" t="str">
        <f>"Encenador de teatro"</f>
        <v>Encenador de teatro</v>
      </c>
    </row>
    <row r="426" spans="1:3" ht="15">
      <c r="A426">
        <v>5</v>
      </c>
      <c r="B426" t="str">
        <f>"2654.3"</f>
        <v>2654.3</v>
      </c>
      <c r="C426" t="str">
        <f>"Produtor de cinema e teatro"</f>
        <v>Produtor de cinema e teatro</v>
      </c>
    </row>
    <row r="427" spans="1:3" ht="15">
      <c r="A427">
        <v>5</v>
      </c>
      <c r="B427" t="str">
        <f>"2654.4"</f>
        <v>2654.4</v>
      </c>
      <c r="C427" t="str">
        <f>"Produtor e realizador, de televisão e rádio"</f>
        <v>Produtor e realizador, de televisão e rádio</v>
      </c>
    </row>
    <row r="428" spans="1:3" ht="15">
      <c r="A428">
        <v>5</v>
      </c>
      <c r="B428" t="str">
        <f>"2654.5"</f>
        <v>2654.5</v>
      </c>
      <c r="C428" t="str">
        <f>"Director de fotografia e de som, montador e relacionados"</f>
        <v>Director de fotografia e de som, montador e relacionados</v>
      </c>
    </row>
    <row r="429" spans="1:3" ht="15">
      <c r="A429">
        <v>4</v>
      </c>
      <c r="B429" t="str">
        <f>"2655"</f>
        <v>2655</v>
      </c>
      <c r="C429" t="str">
        <f>"Actor"</f>
        <v>Actor</v>
      </c>
    </row>
    <row r="430" spans="1:3" ht="15">
      <c r="A430">
        <v>5</v>
      </c>
      <c r="B430" t="str">
        <f>"2655.0"</f>
        <v>2655.0</v>
      </c>
      <c r="C430" t="str">
        <f>"Actor"</f>
        <v>Actor</v>
      </c>
    </row>
    <row r="431" spans="1:3" ht="15">
      <c r="A431">
        <v>4</v>
      </c>
      <c r="B431" t="str">
        <f>"2656"</f>
        <v>2656</v>
      </c>
      <c r="C431" t="str">
        <f>"Locutor e apresentador, de rádio, de televisão e de outros meios de comunicação"</f>
        <v>Locutor e apresentador, de rádio, de televisão e de outros meios de comunicação</v>
      </c>
    </row>
    <row r="432" spans="1:3" ht="15">
      <c r="A432">
        <v>5</v>
      </c>
      <c r="B432" t="str">
        <f>"2656.0"</f>
        <v>2656.0</v>
      </c>
      <c r="C432" t="str">
        <f>"Locutor e apresentador, de rádio, de televisão e de outros meios de comunicação"</f>
        <v>Locutor e apresentador, de rádio, de televisão e de outros meios de comunicação</v>
      </c>
    </row>
    <row r="433" spans="1:3" ht="15">
      <c r="A433">
        <v>4</v>
      </c>
      <c r="B433" t="str">
        <f>"2659"</f>
        <v>2659</v>
      </c>
      <c r="C433" t="str">
        <f>"Outros artistas e intérpretes criativos das artes do espectáculo"</f>
        <v>Outros artistas e intérpretes criativos das artes do espectáculo</v>
      </c>
    </row>
    <row r="434" spans="1:3" ht="15">
      <c r="A434">
        <v>5</v>
      </c>
      <c r="B434" t="str">
        <f>"2659.1"</f>
        <v>2659.1</v>
      </c>
      <c r="C434" t="str">
        <f>"Disc jockey"</f>
        <v>Disc jockey</v>
      </c>
    </row>
    <row r="435" spans="1:3" ht="15">
      <c r="A435">
        <v>5</v>
      </c>
      <c r="B435" t="str">
        <f>"2659.2"</f>
        <v>2659.2</v>
      </c>
      <c r="C435" t="str">
        <f>"Outros artistas e intérpretes criativos das artes do espectáculo, n.e."</f>
        <v>Outros artistas e intérpretes criativos das artes do espectáculo, n.e.</v>
      </c>
    </row>
    <row r="436" spans="1:3" ht="15">
      <c r="A436">
        <v>1</v>
      </c>
      <c r="B436" t="str">
        <f>"3"</f>
        <v>3</v>
      </c>
      <c r="C436" t="str">
        <f>"Técnicos e profissões de nível intermédio"</f>
        <v>Técnicos e profissões de nível intermédio</v>
      </c>
    </row>
    <row r="437" spans="1:3" ht="15">
      <c r="A437">
        <v>2</v>
      </c>
      <c r="B437" t="str">
        <f>"31"</f>
        <v>31</v>
      </c>
      <c r="C437" t="str">
        <f>"Técnicos e profissões das ciências e engenharia, de nível intermédio"</f>
        <v>Técnicos e profissões das ciências e engenharia, de nível intermédio</v>
      </c>
    </row>
    <row r="438" spans="1:3" ht="15">
      <c r="A438">
        <v>3</v>
      </c>
      <c r="B438" t="str">
        <f>"311"</f>
        <v>311</v>
      </c>
      <c r="C438" t="str">
        <f>"Técnicos das ciências físicas e de engenharia "</f>
        <v>Técnicos das ciências físicas e de engenharia </v>
      </c>
    </row>
    <row r="439" spans="1:3" ht="15">
      <c r="A439">
        <v>4</v>
      </c>
      <c r="B439" t="str">
        <f>"3111"</f>
        <v>3111</v>
      </c>
      <c r="C439" t="str">
        <f>"Técnicos das ciências físicas e químicas"</f>
        <v>Técnicos das ciências físicas e químicas</v>
      </c>
    </row>
    <row r="440" spans="1:3" ht="15">
      <c r="A440">
        <v>5</v>
      </c>
      <c r="B440" t="str">
        <f>"3111.1"</f>
        <v>3111.1</v>
      </c>
      <c r="C440" t="str">
        <f>"Técnico das ciências físicas "</f>
        <v>Técnico das ciências físicas </v>
      </c>
    </row>
    <row r="441" spans="1:3" ht="15">
      <c r="A441">
        <v>5</v>
      </c>
      <c r="B441" t="str">
        <f>"3111.2"</f>
        <v>3111.2</v>
      </c>
      <c r="C441" t="str">
        <f>"Técnico das ciências químicas"</f>
        <v>Técnico das ciências químicas</v>
      </c>
    </row>
    <row r="442" spans="1:3" ht="15">
      <c r="A442">
        <v>4</v>
      </c>
      <c r="B442" t="str">
        <f>"3112"</f>
        <v>3112</v>
      </c>
      <c r="C442" t="str">
        <f>"Técnico de engenharia civil "</f>
        <v>Técnico de engenharia civil </v>
      </c>
    </row>
    <row r="443" spans="1:3" ht="15">
      <c r="A443">
        <v>5</v>
      </c>
      <c r="B443" t="str">
        <f>"3112.0"</f>
        <v>3112.0</v>
      </c>
      <c r="C443" t="str">
        <f>"Técnico de engenharia civil "</f>
        <v>Técnico de engenharia civil </v>
      </c>
    </row>
    <row r="444" spans="1:3" ht="15">
      <c r="A444">
        <v>4</v>
      </c>
      <c r="B444" t="str">
        <f>"3113"</f>
        <v>3113</v>
      </c>
      <c r="C444" t="str">
        <f>"Técnico de electricidade"</f>
        <v>Técnico de electricidade</v>
      </c>
    </row>
    <row r="445" spans="1:3" ht="15">
      <c r="A445">
        <v>5</v>
      </c>
      <c r="B445" t="str">
        <f>"3113.0"</f>
        <v>3113.0</v>
      </c>
      <c r="C445" t="str">
        <f>"Técnico de electricidade"</f>
        <v>Técnico de electricidade</v>
      </c>
    </row>
    <row r="446" spans="1:3" ht="15">
      <c r="A446">
        <v>4</v>
      </c>
      <c r="B446" t="str">
        <f>"3114"</f>
        <v>3114</v>
      </c>
      <c r="C446" t="str">
        <f>"Técnico de electrónica "</f>
        <v>Técnico de electrónica </v>
      </c>
    </row>
    <row r="447" spans="1:3" ht="15">
      <c r="A447">
        <v>5</v>
      </c>
      <c r="B447" t="str">
        <f>"3114.0"</f>
        <v>3114.0</v>
      </c>
      <c r="C447" t="str">
        <f>"Técnico de electrónica "</f>
        <v>Técnico de electrónica </v>
      </c>
    </row>
    <row r="448" spans="1:3" ht="15">
      <c r="A448">
        <v>4</v>
      </c>
      <c r="B448" t="str">
        <f>"3115"</f>
        <v>3115</v>
      </c>
      <c r="C448" t="str">
        <f>"Técnicos e inspectores de mecânica "</f>
        <v>Técnicos e inspectores de mecânica </v>
      </c>
    </row>
    <row r="449" spans="1:3" ht="15">
      <c r="A449">
        <v>5</v>
      </c>
      <c r="B449" t="str">
        <f>"3115.1"</f>
        <v>3115.1</v>
      </c>
      <c r="C449" t="str">
        <f>"Técnico de inspecção de veículos "</f>
        <v>Técnico de inspecção de veículos </v>
      </c>
    </row>
    <row r="450" spans="1:3" ht="15">
      <c r="A450">
        <v>5</v>
      </c>
      <c r="B450" t="str">
        <f>"3115.2"</f>
        <v>3115.2</v>
      </c>
      <c r="C450" t="str">
        <f>"Outros técnicos e inspectores de mecânica "</f>
        <v>Outros técnicos e inspectores de mecânica </v>
      </c>
    </row>
    <row r="451" spans="1:3" ht="15">
      <c r="A451">
        <v>4</v>
      </c>
      <c r="B451" t="str">
        <f>"3116"</f>
        <v>3116</v>
      </c>
      <c r="C451" t="str">
        <f>"Técnico de química industrial"</f>
        <v>Técnico de química industrial</v>
      </c>
    </row>
    <row r="452" spans="1:3" ht="15">
      <c r="A452">
        <v>5</v>
      </c>
      <c r="B452" t="str">
        <f>"3116.0"</f>
        <v>3116.0</v>
      </c>
      <c r="C452" t="str">
        <f>"Técnico de química industrial"</f>
        <v>Técnico de química industrial</v>
      </c>
    </row>
    <row r="453" spans="1:3" ht="15">
      <c r="A453">
        <v>4</v>
      </c>
      <c r="B453" t="str">
        <f>"3117"</f>
        <v>3117</v>
      </c>
      <c r="C453" t="str">
        <f>"Técnico da metalurgia de base e da indústria extractiva "</f>
        <v>Técnico da metalurgia de base e da indústria extractiva </v>
      </c>
    </row>
    <row r="454" spans="1:3" ht="15">
      <c r="A454">
        <v>5</v>
      </c>
      <c r="B454" t="str">
        <f>"3117.0"</f>
        <v>3117.0</v>
      </c>
      <c r="C454" t="str">
        <f>"Técnico da metalurgia de base e da indústria extractiva "</f>
        <v>Técnico da metalurgia de base e da indústria extractiva </v>
      </c>
    </row>
    <row r="455" spans="1:3" ht="15">
      <c r="A455">
        <v>4</v>
      </c>
      <c r="B455" t="str">
        <f>"3118"</f>
        <v>3118</v>
      </c>
      <c r="C455" t="str">
        <f>"Desenhadores e técnicos afins"</f>
        <v>Desenhadores e técnicos afins</v>
      </c>
    </row>
    <row r="456" spans="1:3" ht="15">
      <c r="A456">
        <v>5</v>
      </c>
      <c r="B456" t="str">
        <f>"3118.0"</f>
        <v>3118.0</v>
      </c>
      <c r="C456" t="str">
        <f>"Desenhadores e técnicos afins"</f>
        <v>Desenhadores e técnicos afins</v>
      </c>
    </row>
    <row r="457" spans="1:3" ht="15">
      <c r="A457">
        <v>4</v>
      </c>
      <c r="B457" t="str">
        <f>"3119"</f>
        <v>3119</v>
      </c>
      <c r="C457" t="str">
        <f>"Outros técnicos das ciências físicas e de engenharia "</f>
        <v>Outros técnicos das ciências físicas e de engenharia </v>
      </c>
    </row>
    <row r="458" spans="1:3" ht="15">
      <c r="A458">
        <v>5</v>
      </c>
      <c r="B458" t="str">
        <f>"3119.1"</f>
        <v>3119.1</v>
      </c>
      <c r="C458" t="str">
        <f>"Técnico de gás"</f>
        <v>Técnico de gás</v>
      </c>
    </row>
    <row r="459" spans="1:3" ht="15">
      <c r="A459">
        <v>5</v>
      </c>
      <c r="B459" t="str">
        <f>"3119.2"</f>
        <v>3119.2</v>
      </c>
      <c r="C459" t="str">
        <f>"Outros técnicos das ciências físicas e de engenharia, n.e."</f>
        <v>Outros técnicos das ciências físicas e de engenharia, n.e.</v>
      </c>
    </row>
    <row r="460" spans="1:3" ht="15">
      <c r="A460">
        <v>3</v>
      </c>
      <c r="B460" t="str">
        <f>"312"</f>
        <v>312</v>
      </c>
      <c r="C460" t="str">
        <f>"Encarregados das indústrias extractiva, transformadora e construção"</f>
        <v>Encarregados das indústrias extractiva, transformadora e construção</v>
      </c>
    </row>
    <row r="461" spans="1:3" ht="15">
      <c r="A461">
        <v>4</v>
      </c>
      <c r="B461" t="str">
        <f>"3121"</f>
        <v>3121</v>
      </c>
      <c r="C461" t="str">
        <f>"Encarregado da indústria extractiva"</f>
        <v>Encarregado da indústria extractiva</v>
      </c>
    </row>
    <row r="462" spans="1:3" ht="15">
      <c r="A462">
        <v>5</v>
      </c>
      <c r="B462" t="str">
        <f>"3121.0"</f>
        <v>3121.0</v>
      </c>
      <c r="C462" t="str">
        <f>"Encarregado da indústria extractiva"</f>
        <v>Encarregado da indústria extractiva</v>
      </c>
    </row>
    <row r="463" spans="1:3" ht="15">
      <c r="A463">
        <v>4</v>
      </c>
      <c r="B463" t="str">
        <f>"3122"</f>
        <v>3122</v>
      </c>
      <c r="C463" t="str">
        <f>"Encarregado da indústria transformadora"</f>
        <v>Encarregado da indústria transformadora</v>
      </c>
    </row>
    <row r="464" spans="1:3" ht="15">
      <c r="A464">
        <v>5</v>
      </c>
      <c r="B464" t="str">
        <f>"3122.1"</f>
        <v>3122.1</v>
      </c>
      <c r="C464" t="str">
        <f>"Encarregados das indústrias alimentares e das bebidas"</f>
        <v>Encarregados das indústrias alimentares e das bebidas</v>
      </c>
    </row>
    <row r="465" spans="1:3" ht="15">
      <c r="A465">
        <v>5</v>
      </c>
      <c r="B465" t="str">
        <f>"3122.2"</f>
        <v>3122.2</v>
      </c>
      <c r="C465" t="str">
        <f>"Encarregados das indústrias têxteis, do vestuário, calçado e curtumes"</f>
        <v>Encarregados das indústrias têxteis, do vestuário, calçado e curtumes</v>
      </c>
    </row>
    <row r="466" spans="1:3" ht="15">
      <c r="A466">
        <v>5</v>
      </c>
      <c r="B466" t="str">
        <f>"3122.3"</f>
        <v>3122.3</v>
      </c>
      <c r="C466" t="str">
        <f>"Encarregados das indústrias da madeira e cortiça"</f>
        <v>Encarregados das indústrias da madeira e cortiça</v>
      </c>
    </row>
    <row r="467" spans="1:3" ht="15">
      <c r="A467">
        <v>5</v>
      </c>
      <c r="B467" t="str">
        <f>"3122.4"</f>
        <v>3122.4</v>
      </c>
      <c r="C467" t="str">
        <f>"Encarregados das indústrias da pasta, papel, impressão e similares"</f>
        <v>Encarregados das indústrias da pasta, papel, impressão e similares</v>
      </c>
    </row>
    <row r="468" spans="1:3" ht="15">
      <c r="A468">
        <v>5</v>
      </c>
      <c r="B468" t="str">
        <f>"3122.5"</f>
        <v>3122.5</v>
      </c>
      <c r="C468" t="str">
        <f>"Encarregados das indústrias da refinação do petróleo, químicas, produtos farmacêuticos e transformação de matérias plásticas e borracha"</f>
        <v>Encarregados das indústrias da refinação do petróleo, químicas, produtos farmacêuticos e transformação de matérias plásticas e borracha</v>
      </c>
    </row>
    <row r="469" spans="1:3" ht="15">
      <c r="A469">
        <v>5</v>
      </c>
      <c r="B469" t="str">
        <f>"3122.6"</f>
        <v>3122.6</v>
      </c>
      <c r="C469" t="str">
        <f>"Encarregados das indústrias da transformação de minerais não metálicos"</f>
        <v>Encarregados das indústrias da transformação de minerais não metálicos</v>
      </c>
    </row>
    <row r="470" spans="1:3" ht="15">
      <c r="A470">
        <v>5</v>
      </c>
      <c r="B470" t="str">
        <f>"3122.7"</f>
        <v>3122.7</v>
      </c>
      <c r="C470" t="str">
        <f>"Encarregados das indústrias metalúrgicas de base e fabrico de produtos metálicos"</f>
        <v>Encarregados das indústrias metalúrgicas de base e fabrico de produtos metálicos</v>
      </c>
    </row>
    <row r="471" spans="1:3" ht="15">
      <c r="A471">
        <v>5</v>
      </c>
      <c r="B471" t="str">
        <f>"3122.8"</f>
        <v>3122.8</v>
      </c>
      <c r="C471" t="str">
        <f>"Outros encarregados da indústria transformadora"</f>
        <v>Outros encarregados da indústria transformadora</v>
      </c>
    </row>
    <row r="472" spans="1:3" ht="15">
      <c r="A472">
        <v>4</v>
      </c>
      <c r="B472" t="str">
        <f>"3123"</f>
        <v>3123</v>
      </c>
      <c r="C472" t="str">
        <f>"Encarregado da construção "</f>
        <v>Encarregado da construção </v>
      </c>
    </row>
    <row r="473" spans="1:3" ht="15">
      <c r="A473">
        <v>5</v>
      </c>
      <c r="B473" t="str">
        <f>"3123.0"</f>
        <v>3123.0</v>
      </c>
      <c r="C473" t="str">
        <f>"Encarregado da construção "</f>
        <v>Encarregado da construção </v>
      </c>
    </row>
    <row r="474" spans="1:3" ht="15">
      <c r="A474">
        <v>3</v>
      </c>
      <c r="B474" t="str">
        <f>"313"</f>
        <v>313</v>
      </c>
      <c r="C474" t="str">
        <f>"Técnicos de operação e controlo de processos industriais "</f>
        <v>Técnicos de operação e controlo de processos industriais </v>
      </c>
    </row>
    <row r="475" spans="1:3" ht="15">
      <c r="A475">
        <v>4</v>
      </c>
      <c r="B475" t="str">
        <f>"3131"</f>
        <v>3131</v>
      </c>
      <c r="C475" t="str">
        <f>"Técnico de operação de instalações de produção de energia "</f>
        <v>Técnico de operação de instalações de produção de energia </v>
      </c>
    </row>
    <row r="476" spans="1:3" ht="15">
      <c r="A476">
        <v>5</v>
      </c>
      <c r="B476" t="str">
        <f>"3131.0"</f>
        <v>3131.0</v>
      </c>
      <c r="C476" t="str">
        <f>"Técnico de operação de instalações de produção de energia "</f>
        <v>Técnico de operação de instalações de produção de energia </v>
      </c>
    </row>
    <row r="477" spans="1:3" ht="15">
      <c r="A477">
        <v>4</v>
      </c>
      <c r="B477" t="str">
        <f>"3132"</f>
        <v>3132</v>
      </c>
      <c r="C477" t="str">
        <f>"Técnicos de operação de incineradores e de instalações de tratamento de água "</f>
        <v>Técnicos de operação de incineradores e de instalações de tratamento de água </v>
      </c>
    </row>
    <row r="478" spans="1:3" ht="15">
      <c r="A478">
        <v>5</v>
      </c>
      <c r="B478" t="str">
        <f>"3132.1"</f>
        <v>3132.1</v>
      </c>
      <c r="C478" t="str">
        <f>"Técnico de operação de incineradores "</f>
        <v>Técnico de operação de incineradores </v>
      </c>
    </row>
    <row r="479" spans="1:3" ht="15">
      <c r="A479">
        <v>5</v>
      </c>
      <c r="B479" t="str">
        <f>"3132.2"</f>
        <v>3132.2</v>
      </c>
      <c r="C479" t="str">
        <f>"Técnico de operação de instalações de tratamento de água "</f>
        <v>Técnico de operação de instalações de tratamento de água </v>
      </c>
    </row>
    <row r="480" spans="1:3" ht="15">
      <c r="A480">
        <v>4</v>
      </c>
      <c r="B480" t="str">
        <f>"3133"</f>
        <v>3133</v>
      </c>
      <c r="C480" t="str">
        <f>"Técnico de controlo de instalações da indústria química"</f>
        <v>Técnico de controlo de instalações da indústria química</v>
      </c>
    </row>
    <row r="481" spans="1:3" ht="15">
      <c r="A481">
        <v>5</v>
      </c>
      <c r="B481" t="str">
        <f>"3133.0"</f>
        <v>3133.0</v>
      </c>
      <c r="C481" t="str">
        <f>"Técnico de controlo de instalações da indústria química"</f>
        <v>Técnico de controlo de instalações da indústria química</v>
      </c>
    </row>
    <row r="482" spans="1:3" ht="15">
      <c r="A482">
        <v>4</v>
      </c>
      <c r="B482" t="str">
        <f>"3134"</f>
        <v>3134</v>
      </c>
      <c r="C482" t="str">
        <f>"Técnico de operação de instalações de refinação de petróleo e gás natural "</f>
        <v>Técnico de operação de instalações de refinação de petróleo e gás natural </v>
      </c>
    </row>
    <row r="483" spans="1:3" ht="15">
      <c r="A483">
        <v>5</v>
      </c>
      <c r="B483" t="str">
        <f>"3134.0"</f>
        <v>3134.0</v>
      </c>
      <c r="C483" t="str">
        <f>"Técnico de operação de instalações de refinação de petróleo e gás natural "</f>
        <v>Técnico de operação de instalações de refinação de petróleo e gás natural </v>
      </c>
    </row>
    <row r="484" spans="1:3" ht="15">
      <c r="A484">
        <v>4</v>
      </c>
      <c r="B484" t="str">
        <f>"3135"</f>
        <v>3135</v>
      </c>
      <c r="C484" t="str">
        <f>"Técnico de controlo de instalações de produção de metais "</f>
        <v>Técnico de controlo de instalações de produção de metais </v>
      </c>
    </row>
    <row r="485" spans="1:3" ht="15">
      <c r="A485">
        <v>5</v>
      </c>
      <c r="B485" t="str">
        <f>"3135.0"</f>
        <v>3135.0</v>
      </c>
      <c r="C485" t="str">
        <f>"Técnico de controlo de instalações de produção de metais "</f>
        <v>Técnico de controlo de instalações de produção de metais </v>
      </c>
    </row>
    <row r="486" spans="1:3" ht="15">
      <c r="A486">
        <v>4</v>
      </c>
      <c r="B486" t="str">
        <f>"3139"</f>
        <v>3139</v>
      </c>
      <c r="C486" t="str">
        <f>"Outros técnicos de controlo de processos industriais"</f>
        <v>Outros técnicos de controlo de processos industriais</v>
      </c>
    </row>
    <row r="487" spans="1:3" ht="15">
      <c r="A487">
        <v>5</v>
      </c>
      <c r="B487" t="str">
        <f>"3139.0"</f>
        <v>3139.0</v>
      </c>
      <c r="C487" t="str">
        <f>"Outros técnicos de controlo de processos industriais"</f>
        <v>Outros técnicos de controlo de processos industriais</v>
      </c>
    </row>
    <row r="488" spans="1:3" ht="15">
      <c r="A488">
        <v>3</v>
      </c>
      <c r="B488" t="str">
        <f>"314"</f>
        <v>314</v>
      </c>
      <c r="C488" t="str">
        <f>"Técnicos e profissões afins das ciências da vida, de nível intermédio "</f>
        <v>Técnicos e profissões afins das ciências da vida, de nível intermédio </v>
      </c>
    </row>
    <row r="489" spans="1:3" ht="15">
      <c r="A489">
        <v>4</v>
      </c>
      <c r="B489" t="str">
        <f>"3141"</f>
        <v>3141</v>
      </c>
      <c r="C489" t="str">
        <f>"Técnico das ciências da vida (excepto ciências médicas)"</f>
        <v>Técnico das ciências da vida (excepto ciências médicas)</v>
      </c>
    </row>
    <row r="490" spans="1:3" ht="15">
      <c r="A490">
        <v>5</v>
      </c>
      <c r="B490" t="str">
        <f>"3141.0"</f>
        <v>3141.0</v>
      </c>
      <c r="C490" t="str">
        <f>"Técnico das ciências da vida (excepto ciências médicas)"</f>
        <v>Técnico das ciências da vida (excepto ciências médicas)</v>
      </c>
    </row>
    <row r="491" spans="1:3" ht="15">
      <c r="A491">
        <v>4</v>
      </c>
      <c r="B491" t="str">
        <f>"3142"</f>
        <v>3142</v>
      </c>
      <c r="C491" t="str">
        <f>"Técnicos da agricultura e da produção animal"</f>
        <v>Técnicos da agricultura e da produção animal</v>
      </c>
    </row>
    <row r="492" spans="1:3" ht="15">
      <c r="A492">
        <v>5</v>
      </c>
      <c r="B492" t="str">
        <f>"3142.1"</f>
        <v>3142.1</v>
      </c>
      <c r="C492" t="str">
        <f>"Técnico agrícola"</f>
        <v>Técnico agrícola</v>
      </c>
    </row>
    <row r="493" spans="1:3" ht="15">
      <c r="A493">
        <v>5</v>
      </c>
      <c r="B493" t="str">
        <f>"3142.2"</f>
        <v>3142.2</v>
      </c>
      <c r="C493" t="str">
        <f>"Técnico da produção animal"</f>
        <v>Técnico da produção animal</v>
      </c>
    </row>
    <row r="494" spans="1:3" ht="15">
      <c r="A494">
        <v>4</v>
      </c>
      <c r="B494" t="str">
        <f>"3143"</f>
        <v>3143</v>
      </c>
      <c r="C494" t="str">
        <f>"Técnico florestal (inclui cinegético)"</f>
        <v>Técnico florestal (inclui cinegético)</v>
      </c>
    </row>
    <row r="495" spans="1:3" ht="15">
      <c r="A495">
        <v>5</v>
      </c>
      <c r="B495" t="str">
        <f>"3143.0"</f>
        <v>3143.0</v>
      </c>
      <c r="C495" t="str">
        <f>"Técnico florestal (inclui cinegético)"</f>
        <v>Técnico florestal (inclui cinegético)</v>
      </c>
    </row>
    <row r="496" spans="1:3" ht="15">
      <c r="A496">
        <v>3</v>
      </c>
      <c r="B496" t="str">
        <f>"315"</f>
        <v>315</v>
      </c>
      <c r="C496" t="str">
        <f>"Técnicos operacionais e controladores, dos transportes marítimo e aéreo"</f>
        <v>Técnicos operacionais e controladores, dos transportes marítimo e aéreo</v>
      </c>
    </row>
    <row r="497" spans="1:3" ht="15">
      <c r="A497">
        <v>4</v>
      </c>
      <c r="B497" t="str">
        <f>"3151"</f>
        <v>3151</v>
      </c>
      <c r="C497" t="str">
        <f>"Oficial maquinista de navios"</f>
        <v>Oficial maquinista de navios</v>
      </c>
    </row>
    <row r="498" spans="1:3" ht="15">
      <c r="A498">
        <v>5</v>
      </c>
      <c r="B498" t="str">
        <f>"3151.0"</f>
        <v>3151.0</v>
      </c>
      <c r="C498" t="str">
        <f>"Oficial maquinista de navios"</f>
        <v>Oficial maquinista de navios</v>
      </c>
    </row>
    <row r="499" spans="1:3" ht="15">
      <c r="A499">
        <v>4</v>
      </c>
      <c r="B499" t="str">
        <f>"3152"</f>
        <v>3152</v>
      </c>
      <c r="C499" t="str">
        <f>"Oficial de convés e piloto de navios"</f>
        <v>Oficial de convés e piloto de navios</v>
      </c>
    </row>
    <row r="500" spans="1:3" ht="15">
      <c r="A500">
        <v>5</v>
      </c>
      <c r="B500" t="str">
        <f>"3152.0"</f>
        <v>3152.0</v>
      </c>
      <c r="C500" t="str">
        <f>"Oficial de convés e piloto de navios"</f>
        <v>Oficial de convés e piloto de navios</v>
      </c>
    </row>
    <row r="501" spans="1:3" ht="15">
      <c r="A501">
        <v>4</v>
      </c>
      <c r="B501" t="str">
        <f>"3153"</f>
        <v>3153</v>
      </c>
      <c r="C501" t="str">
        <f>"Piloto de aeronaves"</f>
        <v>Piloto de aeronaves</v>
      </c>
    </row>
    <row r="502" spans="1:3" ht="15">
      <c r="A502">
        <v>5</v>
      </c>
      <c r="B502" t="str">
        <f>"3153.0"</f>
        <v>3153.0</v>
      </c>
      <c r="C502" t="str">
        <f>"Piloto de aeronaves"</f>
        <v>Piloto de aeronaves</v>
      </c>
    </row>
    <row r="503" spans="1:3" ht="15">
      <c r="A503">
        <v>4</v>
      </c>
      <c r="B503" t="str">
        <f>"3154"</f>
        <v>3154</v>
      </c>
      <c r="C503" t="str">
        <f>"Controlador de tráfego aéreo"</f>
        <v>Controlador de tráfego aéreo</v>
      </c>
    </row>
    <row r="504" spans="1:3" ht="15">
      <c r="A504">
        <v>5</v>
      </c>
      <c r="B504" t="str">
        <f>"3154.0"</f>
        <v>3154.0</v>
      </c>
      <c r="C504" t="str">
        <f>"Controlador de tráfego aéreo"</f>
        <v>Controlador de tráfego aéreo</v>
      </c>
    </row>
    <row r="505" spans="1:3" ht="15">
      <c r="A505">
        <v>4</v>
      </c>
      <c r="B505" t="str">
        <f>"3155"</f>
        <v>3155</v>
      </c>
      <c r="C505" t="str">
        <f>"Técnico de segurança de sistemas electrónicos aeronáuticos "</f>
        <v>Técnico de segurança de sistemas electrónicos aeronáuticos </v>
      </c>
    </row>
    <row r="506" spans="1:3" ht="15">
      <c r="A506">
        <v>5</v>
      </c>
      <c r="B506" t="str">
        <f>"3155.0"</f>
        <v>3155.0</v>
      </c>
      <c r="C506" t="str">
        <f>"Técnico de segurança de sistemas electrónicos aeronáuticos "</f>
        <v>Técnico de segurança de sistemas electrónicos aeronáuticos </v>
      </c>
    </row>
    <row r="507" spans="1:3" ht="15">
      <c r="A507">
        <v>2</v>
      </c>
      <c r="B507" t="str">
        <f>"32"</f>
        <v>32</v>
      </c>
      <c r="C507" t="str">
        <f>"Técnicos e profissionais, de nível intermédio da saúde"</f>
        <v>Técnicos e profissionais, de nível intermédio da saúde</v>
      </c>
    </row>
    <row r="508" spans="1:3" ht="15">
      <c r="A508">
        <v>3</v>
      </c>
      <c r="B508" t="str">
        <f>"321"</f>
        <v>321</v>
      </c>
      <c r="C508" t="str">
        <f>"Técnicos da medicina e farmácia"</f>
        <v>Técnicos da medicina e farmácia</v>
      </c>
    </row>
    <row r="509" spans="1:3" ht="15">
      <c r="A509">
        <v>4</v>
      </c>
      <c r="B509" t="str">
        <f>"3211"</f>
        <v>3211</v>
      </c>
      <c r="C509" t="str">
        <f>"Técnico de equipamento de diagnóstico e terapêutico"</f>
        <v>Técnico de equipamento de diagnóstico e terapêutico</v>
      </c>
    </row>
    <row r="510" spans="1:3" ht="15">
      <c r="A510">
        <v>5</v>
      </c>
      <c r="B510" t="str">
        <f>"3211.1"</f>
        <v>3211.1</v>
      </c>
      <c r="C510" t="str">
        <f>"Técnico de cardiopneumografia"</f>
        <v>Técnico de cardiopneumografia</v>
      </c>
    </row>
    <row r="511" spans="1:3" ht="15">
      <c r="A511">
        <v>5</v>
      </c>
      <c r="B511" t="str">
        <f>"3211.2"</f>
        <v>3211.2</v>
      </c>
      <c r="C511" t="str">
        <f>"Técnico de radiologia"</f>
        <v>Técnico de radiologia</v>
      </c>
    </row>
    <row r="512" spans="1:3" ht="15">
      <c r="A512">
        <v>5</v>
      </c>
      <c r="B512" t="str">
        <f>"3211.3"</f>
        <v>3211.3</v>
      </c>
      <c r="C512" t="str">
        <f>"Técnico de medicina nuclear"</f>
        <v>Técnico de medicina nuclear</v>
      </c>
    </row>
    <row r="513" spans="1:3" ht="15">
      <c r="A513">
        <v>5</v>
      </c>
      <c r="B513" t="str">
        <f>"3211.4"</f>
        <v>3211.4</v>
      </c>
      <c r="C513" t="str">
        <f>"Técnico de radioterapia"</f>
        <v>Técnico de radioterapia</v>
      </c>
    </row>
    <row r="514" spans="1:3" ht="15">
      <c r="A514">
        <v>5</v>
      </c>
      <c r="B514" t="str">
        <f>"3211.5"</f>
        <v>3211.5</v>
      </c>
      <c r="C514" t="str">
        <f>"Outros técnicos de equipamento de diagnóstico e terapêutico"</f>
        <v>Outros técnicos de equipamento de diagnóstico e terapêutico</v>
      </c>
    </row>
    <row r="515" spans="1:3" ht="15">
      <c r="A515">
        <v>4</v>
      </c>
      <c r="B515" t="str">
        <f>"3212"</f>
        <v>3212</v>
      </c>
      <c r="C515" t="str">
        <f>"Técnicos de laboratório de anatomia patológica e medicina"</f>
        <v>Técnicos de laboratório de anatomia patológica e medicina</v>
      </c>
    </row>
    <row r="516" spans="1:3" ht="15">
      <c r="A516">
        <v>5</v>
      </c>
      <c r="B516" t="str">
        <f>"3212.1"</f>
        <v>3212.1</v>
      </c>
      <c r="C516" t="str">
        <f>"Técnico de análises clínicas "</f>
        <v>Técnico de análises clínicas </v>
      </c>
    </row>
    <row r="517" spans="1:3" ht="15">
      <c r="A517">
        <v>5</v>
      </c>
      <c r="B517" t="str">
        <f>"3212.2"</f>
        <v>3212.2</v>
      </c>
      <c r="C517" t="str">
        <f>"Técnico de anatomia patológica, citológica e tanatológica"</f>
        <v>Técnico de anatomia patológica, citológica e tanatológica</v>
      </c>
    </row>
    <row r="518" spans="1:3" ht="15">
      <c r="A518">
        <v>4</v>
      </c>
      <c r="B518" t="str">
        <f>"3213"</f>
        <v>3213</v>
      </c>
      <c r="C518" t="str">
        <f>"Técnicos e assistentes farmacêuticos "</f>
        <v>Técnicos e assistentes farmacêuticos </v>
      </c>
    </row>
    <row r="519" spans="1:3" ht="15">
      <c r="A519">
        <v>5</v>
      </c>
      <c r="B519" t="str">
        <f>"3213.0"</f>
        <v>3213.0</v>
      </c>
      <c r="C519" t="str">
        <f>"Técnicos e assistentes farmacêuticos "</f>
        <v>Técnicos e assistentes farmacêuticos </v>
      </c>
    </row>
    <row r="520" spans="1:3" ht="15">
      <c r="A520">
        <v>4</v>
      </c>
      <c r="B520" t="str">
        <f>"3214"</f>
        <v>3214</v>
      </c>
      <c r="C520" t="str">
        <f>"Técnico de próteses médicas e dentárias"</f>
        <v>Técnico de próteses médicas e dentárias</v>
      </c>
    </row>
    <row r="521" spans="1:3" ht="15">
      <c r="A521">
        <v>5</v>
      </c>
      <c r="B521" t="str">
        <f>"3214.0"</f>
        <v>3214.0</v>
      </c>
      <c r="C521" t="str">
        <f>"Técnico de próteses médicas e dentárias"</f>
        <v>Técnico de próteses médicas e dentárias</v>
      </c>
    </row>
    <row r="522" spans="1:3" ht="15">
      <c r="A522">
        <v>3</v>
      </c>
      <c r="B522" t="str">
        <f>"322"</f>
        <v>322</v>
      </c>
      <c r="C522" t="str">
        <f>"Auxiliares de enfermagem e parteiras"</f>
        <v>Auxiliares de enfermagem e parteiras</v>
      </c>
    </row>
    <row r="523" spans="1:3" ht="15">
      <c r="A523">
        <v>4</v>
      </c>
      <c r="B523" t="str">
        <f>"3221"</f>
        <v>3221</v>
      </c>
      <c r="C523" t="str">
        <f>"Auxiliar de enfermagem "</f>
        <v>Auxiliar de enfermagem </v>
      </c>
    </row>
    <row r="524" spans="1:3" ht="15">
      <c r="A524">
        <v>5</v>
      </c>
      <c r="B524" t="str">
        <f>"3221.0"</f>
        <v>3221.0</v>
      </c>
      <c r="C524" t="str">
        <f>"Auxiliar de enfermagem "</f>
        <v>Auxiliar de enfermagem </v>
      </c>
    </row>
    <row r="525" spans="1:3" ht="15">
      <c r="A525">
        <v>4</v>
      </c>
      <c r="B525" t="str">
        <f>"3222"</f>
        <v>3222</v>
      </c>
      <c r="C525" t="str">
        <f>"Parteira"</f>
        <v>Parteira</v>
      </c>
    </row>
    <row r="526" spans="1:3" ht="15">
      <c r="A526">
        <v>5</v>
      </c>
      <c r="B526" t="str">
        <f>"3222.0"</f>
        <v>3222.0</v>
      </c>
      <c r="C526" t="str">
        <f>"Parteira"</f>
        <v>Parteira</v>
      </c>
    </row>
    <row r="527" spans="1:3" ht="15">
      <c r="A527">
        <v>3</v>
      </c>
      <c r="B527" t="str">
        <f>"323"</f>
        <v>323</v>
      </c>
      <c r="C527" t="str">
        <f>"Profissionais de nível intermédio da medicina tradicional e complementar"</f>
        <v>Profissionais de nível intermédio da medicina tradicional e complementar</v>
      </c>
    </row>
    <row r="528" spans="1:3" ht="15">
      <c r="A528">
        <v>4</v>
      </c>
      <c r="B528" t="str">
        <f>"3230"</f>
        <v>3230</v>
      </c>
      <c r="C528" t="str">
        <f>"Profissionais de nível intermédio da medicina tradicional e complementar"</f>
        <v>Profissionais de nível intermédio da medicina tradicional e complementar</v>
      </c>
    </row>
    <row r="529" spans="1:3" ht="15">
      <c r="A529">
        <v>5</v>
      </c>
      <c r="B529" t="str">
        <f>"3230.0"</f>
        <v>3230.0</v>
      </c>
      <c r="C529" t="str">
        <f>"Profissionais de nível intermédio da medicina tradicional e complementar"</f>
        <v>Profissionais de nível intermédio da medicina tradicional e complementar</v>
      </c>
    </row>
    <row r="530" spans="1:3" ht="15">
      <c r="A530">
        <v>3</v>
      </c>
      <c r="B530" t="str">
        <f>"324"</f>
        <v>324</v>
      </c>
      <c r="C530" t="str">
        <f>"Técnico e assistente de veterinários"</f>
        <v>Técnico e assistente de veterinários</v>
      </c>
    </row>
    <row r="531" spans="1:3" ht="15">
      <c r="A531">
        <v>4</v>
      </c>
      <c r="B531" t="str">
        <f>"3240"</f>
        <v>3240</v>
      </c>
      <c r="C531" t="str">
        <f>"Técnico e assistente de veterinários"</f>
        <v>Técnico e assistente de veterinários</v>
      </c>
    </row>
    <row r="532" spans="1:3" ht="15">
      <c r="A532">
        <v>5</v>
      </c>
      <c r="B532" t="str">
        <f>"3240.0"</f>
        <v>3240.0</v>
      </c>
      <c r="C532" t="str">
        <f>"Técnico e assistente de veterinários"</f>
        <v>Técnico e assistente de veterinários</v>
      </c>
    </row>
    <row r="533" spans="1:3" ht="15">
      <c r="A533">
        <v>3</v>
      </c>
      <c r="B533" t="str">
        <f>"325"</f>
        <v>325</v>
      </c>
      <c r="C533" t="str">
        <f>"Outros profissionais de nível intermédio da saúde"</f>
        <v>Outros profissionais de nível intermédio da saúde</v>
      </c>
    </row>
    <row r="534" spans="1:3" ht="15">
      <c r="A534">
        <v>4</v>
      </c>
      <c r="B534" t="str">
        <f>"3251"</f>
        <v>3251</v>
      </c>
      <c r="C534" t="str">
        <f>"Terapeuta e assistente dentário "</f>
        <v>Terapeuta e assistente dentário </v>
      </c>
    </row>
    <row r="535" spans="1:3" ht="15">
      <c r="A535">
        <v>5</v>
      </c>
      <c r="B535" t="str">
        <f>"3251.0"</f>
        <v>3251.0</v>
      </c>
      <c r="C535" t="str">
        <f>"Terapeuta e assistente dentário "</f>
        <v>Terapeuta e assistente dentário </v>
      </c>
    </row>
    <row r="536" spans="1:3" ht="15">
      <c r="A536">
        <v>4</v>
      </c>
      <c r="B536" t="str">
        <f>"3252"</f>
        <v>3252</v>
      </c>
      <c r="C536" t="str">
        <f>"Técnico de registos médicos e de informação sobre saúde"</f>
        <v>Técnico de registos médicos e de informação sobre saúde</v>
      </c>
    </row>
    <row r="537" spans="1:3" ht="15">
      <c r="A537">
        <v>5</v>
      </c>
      <c r="B537" t="str">
        <f>"3252.0"</f>
        <v>3252.0</v>
      </c>
      <c r="C537" t="str">
        <f>"Técnico de registos médicos e de informação sobre saúde"</f>
        <v>Técnico de registos médicos e de informação sobre saúde</v>
      </c>
    </row>
    <row r="538" spans="1:3" ht="15">
      <c r="A538">
        <v>4</v>
      </c>
      <c r="B538" t="str">
        <f>"3253"</f>
        <v>3253</v>
      </c>
      <c r="C538" t="str">
        <f>"Técnico dos serviços de saúde comunitária"</f>
        <v>Técnico dos serviços de saúde comunitária</v>
      </c>
    </row>
    <row r="539" spans="1:3" ht="15">
      <c r="A539">
        <v>5</v>
      </c>
      <c r="B539" t="str">
        <f>"3253.0"</f>
        <v>3253.0</v>
      </c>
      <c r="C539" t="str">
        <f>"Técnico dos serviços de saúde comunitária"</f>
        <v>Técnico dos serviços de saúde comunitária</v>
      </c>
    </row>
    <row r="540" spans="1:3" ht="15">
      <c r="A540">
        <v>4</v>
      </c>
      <c r="B540" t="str">
        <f>"3254"</f>
        <v>3254</v>
      </c>
      <c r="C540" t="str">
        <f>"Técnicos de óptica ocular e de contactologia"</f>
        <v>Técnicos de óptica ocular e de contactologia</v>
      </c>
    </row>
    <row r="541" spans="1:3" ht="15">
      <c r="A541">
        <v>5</v>
      </c>
      <c r="B541" t="str">
        <f>"3254.1"</f>
        <v>3254.1</v>
      </c>
      <c r="C541" t="str">
        <f>"Técnico de óptica ocular"</f>
        <v>Técnico de óptica ocular</v>
      </c>
    </row>
    <row r="542" spans="1:3" ht="15">
      <c r="A542">
        <v>5</v>
      </c>
      <c r="B542" t="str">
        <f>"3254.2"</f>
        <v>3254.2</v>
      </c>
      <c r="C542" t="str">
        <f>"Técnico de contactologia"</f>
        <v>Técnico de contactologia</v>
      </c>
    </row>
    <row r="543" spans="1:3" ht="15">
      <c r="A543">
        <v>4</v>
      </c>
      <c r="B543" t="str">
        <f>"3255"</f>
        <v>3255</v>
      </c>
      <c r="C543" t="str">
        <f>"Técnico e assistente, de fisioterapia e similares"</f>
        <v>Técnico e assistente, de fisioterapia e similares</v>
      </c>
    </row>
    <row r="544" spans="1:3" ht="15">
      <c r="A544">
        <v>5</v>
      </c>
      <c r="B544" t="str">
        <f>"3255.0"</f>
        <v>3255.0</v>
      </c>
      <c r="C544" t="str">
        <f>"Técnico e assistente, de fisioterapia e similares"</f>
        <v>Técnico e assistente, de fisioterapia e similares</v>
      </c>
    </row>
    <row r="545" spans="1:3" ht="15">
      <c r="A545">
        <v>4</v>
      </c>
      <c r="B545" t="str">
        <f>"3256"</f>
        <v>3256</v>
      </c>
      <c r="C545" t="str">
        <f>"Assistente de médicos "</f>
        <v>Assistente de médicos </v>
      </c>
    </row>
    <row r="546" spans="1:3" ht="15">
      <c r="A546">
        <v>5</v>
      </c>
      <c r="B546" t="str">
        <f>"3256.0"</f>
        <v>3256.0</v>
      </c>
      <c r="C546" t="str">
        <f>"Assistente de médicos "</f>
        <v>Assistente de médicos </v>
      </c>
    </row>
    <row r="547" spans="1:3" ht="15">
      <c r="A547">
        <v>4</v>
      </c>
      <c r="B547" t="str">
        <f>"3257"</f>
        <v>3257</v>
      </c>
      <c r="C547" t="str">
        <f>"Inspectores e técnicos, da saúde, do trabalho e ambiente"</f>
        <v>Inspectores e técnicos, da saúde, do trabalho e ambiente</v>
      </c>
    </row>
    <row r="548" spans="1:3" ht="15">
      <c r="A548">
        <v>5</v>
      </c>
      <c r="B548" t="str">
        <f>"3257.0"</f>
        <v>3257.0</v>
      </c>
      <c r="C548" t="str">
        <f>"Inspectores e técnicos, da saúde, do trabalho e ambiente"</f>
        <v>Inspectores e técnicos, da saúde, do trabalho e ambiente</v>
      </c>
    </row>
    <row r="549" spans="1:3" ht="15">
      <c r="A549">
        <v>4</v>
      </c>
      <c r="B549" t="str">
        <f>"3258"</f>
        <v>3258</v>
      </c>
      <c r="C549" t="str">
        <f>"Pessoal de ambulâncias"</f>
        <v>Pessoal de ambulâncias</v>
      </c>
    </row>
    <row r="550" spans="1:3" ht="15">
      <c r="A550">
        <v>5</v>
      </c>
      <c r="B550" t="str">
        <f>"3258.0"</f>
        <v>3258.0</v>
      </c>
      <c r="C550" t="str">
        <f>"Pessoal de ambulâncias"</f>
        <v>Pessoal de ambulâncias</v>
      </c>
    </row>
    <row r="551" spans="1:3" ht="15">
      <c r="A551">
        <v>4</v>
      </c>
      <c r="B551" t="str">
        <f>"3259"</f>
        <v>3259</v>
      </c>
      <c r="C551" t="str">
        <f>"Outros profissionais de nível intermédio da saúde, n.e."</f>
        <v>Outros profissionais de nível intermédio da saúde, n.e.</v>
      </c>
    </row>
    <row r="552" spans="1:3" ht="15">
      <c r="A552">
        <v>5</v>
      </c>
      <c r="B552" t="str">
        <f>"3259.0"</f>
        <v>3259.0</v>
      </c>
      <c r="C552" t="str">
        <f>"Outros profissionais de nível intermédio da saúde, n.e."</f>
        <v>Outros profissionais de nível intermédio da saúde, n.e.</v>
      </c>
    </row>
    <row r="553" spans="1:3" ht="15">
      <c r="A553">
        <v>2</v>
      </c>
      <c r="B553" t="str">
        <f>"33"</f>
        <v>33</v>
      </c>
      <c r="C553" t="str">
        <f>"Técnicos de nível intermédio, das áreas financeira, administrativa e dos negócios"</f>
        <v>Técnicos de nível intermédio, das áreas financeira, administrativa e dos negócios</v>
      </c>
    </row>
    <row r="554" spans="1:3" ht="15">
      <c r="A554">
        <v>3</v>
      </c>
      <c r="B554" t="str">
        <f>"331"</f>
        <v>331</v>
      </c>
      <c r="C554" t="str">
        <f>"Técnicos de nível intermédio da área financeira e matemática"</f>
        <v>Técnicos de nível intermédio da área financeira e matemática</v>
      </c>
    </row>
    <row r="555" spans="1:3" ht="15">
      <c r="A555">
        <v>4</v>
      </c>
      <c r="B555" t="str">
        <f>"3311"</f>
        <v>3311</v>
      </c>
      <c r="C555" t="str">
        <f>"Corretor de bolsa, cambista e similares"</f>
        <v>Corretor de bolsa, cambista e similares</v>
      </c>
    </row>
    <row r="556" spans="1:3" ht="15">
      <c r="A556">
        <v>5</v>
      </c>
      <c r="B556" t="str">
        <f>"3311.0"</f>
        <v>3311.0</v>
      </c>
      <c r="C556" t="str">
        <f>"Corretor de bolsa, cambista e similares"</f>
        <v>Corretor de bolsa, cambista e similares</v>
      </c>
    </row>
    <row r="557" spans="1:3" ht="15">
      <c r="A557">
        <v>4</v>
      </c>
      <c r="B557" t="str">
        <f>"3312"</f>
        <v>3312</v>
      </c>
      <c r="C557" t="str">
        <f>"Agentes de crédito e empréstimos "</f>
        <v>Agentes de crédito e empréstimos </v>
      </c>
    </row>
    <row r="558" spans="1:3" ht="15">
      <c r="A558">
        <v>5</v>
      </c>
      <c r="B558" t="str">
        <f>"3312.0"</f>
        <v>3312.0</v>
      </c>
      <c r="C558" t="str">
        <f>"Agentes de crédito e empréstimos "</f>
        <v>Agentes de crédito e empréstimos </v>
      </c>
    </row>
    <row r="559" spans="1:3" ht="15">
      <c r="A559">
        <v>4</v>
      </c>
      <c r="B559" t="str">
        <f>"3313"</f>
        <v>3313</v>
      </c>
      <c r="C559" t="str">
        <f>"Técnicos administrativos de contabilidade"</f>
        <v>Técnicos administrativos de contabilidade</v>
      </c>
    </row>
    <row r="560" spans="1:3" ht="15">
      <c r="A560">
        <v>5</v>
      </c>
      <c r="B560" t="str">
        <f>"3313.1"</f>
        <v>3313.1</v>
      </c>
      <c r="C560" t="str">
        <f>"Tesoureiro"</f>
        <v>Tesoureiro</v>
      </c>
    </row>
    <row r="561" spans="1:3" ht="15">
      <c r="A561">
        <v>5</v>
      </c>
      <c r="B561" t="str">
        <f>"3313.2"</f>
        <v>3313.2</v>
      </c>
      <c r="C561" t="str">
        <f>"Outros técnicos administrativos de contabilidade "</f>
        <v>Outros técnicos administrativos de contabilidade </v>
      </c>
    </row>
    <row r="562" spans="1:3" ht="15">
      <c r="A562">
        <v>4</v>
      </c>
      <c r="B562" t="str">
        <f>"3314"</f>
        <v>3314</v>
      </c>
      <c r="C562" t="str">
        <f>"Técnicos de nível intermédio, de estatística, matemática e similares"</f>
        <v>Técnicos de nível intermédio, de estatística, matemática e similares</v>
      </c>
    </row>
    <row r="563" spans="1:3" ht="15">
      <c r="A563">
        <v>5</v>
      </c>
      <c r="B563" t="str">
        <f>"3314.0"</f>
        <v>3314.0</v>
      </c>
      <c r="C563" t="str">
        <f>"Técnicos de nível intermédio, de estatística, matemática e similares"</f>
        <v>Técnicos de nível intermédio, de estatística, matemática e similares</v>
      </c>
    </row>
    <row r="564" spans="1:3" ht="15">
      <c r="A564">
        <v>4</v>
      </c>
      <c r="B564" t="str">
        <f>"3315"</f>
        <v>3315</v>
      </c>
      <c r="C564" t="str">
        <f>"Avaliador de imóveis, seguros e outros bens  "</f>
        <v>Avaliador de imóveis, seguros e outros bens  </v>
      </c>
    </row>
    <row r="565" spans="1:3" ht="15">
      <c r="A565">
        <v>5</v>
      </c>
      <c r="B565" t="str">
        <f>"3315.0"</f>
        <v>3315.0</v>
      </c>
      <c r="C565" t="str">
        <f>"Avaliador de imóveis, seguros e outros bens  "</f>
        <v>Avaliador de imóveis, seguros e outros bens  </v>
      </c>
    </row>
    <row r="566" spans="1:3" ht="15">
      <c r="A566">
        <v>3</v>
      </c>
      <c r="B566" t="str">
        <f>"332"</f>
        <v>332</v>
      </c>
      <c r="C566" t="str">
        <f>"Agentes de compras, de vendas e corretores comerciais"</f>
        <v>Agentes de compras, de vendas e corretores comerciais</v>
      </c>
    </row>
    <row r="567" spans="1:3" ht="15">
      <c r="A567">
        <v>4</v>
      </c>
      <c r="B567" t="str">
        <f>"3321"</f>
        <v>3321</v>
      </c>
      <c r="C567" t="str">
        <f>"Agente de seguros "</f>
        <v>Agente de seguros </v>
      </c>
    </row>
    <row r="568" spans="1:3" ht="15">
      <c r="A568">
        <v>5</v>
      </c>
      <c r="B568" t="str">
        <f>"3321.0"</f>
        <v>3321.0</v>
      </c>
      <c r="C568" t="str">
        <f>"Agente de seguros "</f>
        <v>Agente de seguros </v>
      </c>
    </row>
    <row r="569" spans="1:3" ht="15">
      <c r="A569">
        <v>4</v>
      </c>
      <c r="B569" t="str">
        <f>"3322"</f>
        <v>3322</v>
      </c>
      <c r="C569" t="str">
        <f>"Representante comercial "</f>
        <v>Representante comercial </v>
      </c>
    </row>
    <row r="570" spans="1:3" ht="15">
      <c r="A570">
        <v>5</v>
      </c>
      <c r="B570" t="str">
        <f>"3322.0"</f>
        <v>3322.0</v>
      </c>
      <c r="C570" t="str">
        <f>"Representante comercial "</f>
        <v>Representante comercial </v>
      </c>
    </row>
    <row r="571" spans="1:3" ht="15">
      <c r="A571">
        <v>4</v>
      </c>
      <c r="B571" t="str">
        <f>"3323"</f>
        <v>3323</v>
      </c>
      <c r="C571" t="str">
        <f>"Técnico de compras"</f>
        <v>Técnico de compras</v>
      </c>
    </row>
    <row r="572" spans="1:3" ht="15">
      <c r="A572">
        <v>5</v>
      </c>
      <c r="B572" t="str">
        <f>"3323.0"</f>
        <v>3323.0</v>
      </c>
      <c r="C572" t="str">
        <f>"Técnico de compras"</f>
        <v>Técnico de compras</v>
      </c>
    </row>
    <row r="573" spans="1:3" ht="15">
      <c r="A573">
        <v>4</v>
      </c>
      <c r="B573" t="str">
        <f>"3324"</f>
        <v>3324</v>
      </c>
      <c r="C573" t="str">
        <f>"Corretor comercial "</f>
        <v>Corretor comercial </v>
      </c>
    </row>
    <row r="574" spans="1:3" ht="15">
      <c r="A574">
        <v>5</v>
      </c>
      <c r="B574" t="str">
        <f>"3324.0"</f>
        <v>3324.0</v>
      </c>
      <c r="C574" t="str">
        <f>"Corretor comercial "</f>
        <v>Corretor comercial </v>
      </c>
    </row>
    <row r="575" spans="1:3" ht="15">
      <c r="A575">
        <v>3</v>
      </c>
      <c r="B575" t="str">
        <f>"333"</f>
        <v>333</v>
      </c>
      <c r="C575" t="str">
        <f>"Agentes de negócios"</f>
        <v>Agentes de negócios</v>
      </c>
    </row>
    <row r="576" spans="1:3" ht="15">
      <c r="A576">
        <v>4</v>
      </c>
      <c r="B576" t="str">
        <f>"3331"</f>
        <v>3331</v>
      </c>
      <c r="C576" t="str">
        <f>"Despachante, transitário e similares"</f>
        <v>Despachante, transitário e similares</v>
      </c>
    </row>
    <row r="577" spans="1:3" ht="15">
      <c r="A577">
        <v>5</v>
      </c>
      <c r="B577" t="str">
        <f>"3331.0"</f>
        <v>3331.0</v>
      </c>
      <c r="C577" t="str">
        <f>"Despachante, transitário e similares"</f>
        <v>Despachante, transitário e similares</v>
      </c>
    </row>
    <row r="578" spans="1:3" ht="15">
      <c r="A578">
        <v>4</v>
      </c>
      <c r="B578" t="str">
        <f>"3332"</f>
        <v>3332</v>
      </c>
      <c r="C578" t="str">
        <f>"Organizador de conferências e eventos"</f>
        <v>Organizador de conferências e eventos</v>
      </c>
    </row>
    <row r="579" spans="1:3" ht="15">
      <c r="A579">
        <v>5</v>
      </c>
      <c r="B579" t="str">
        <f>"3332.0"</f>
        <v>3332.0</v>
      </c>
      <c r="C579" t="str">
        <f>"Organizador de conferências e eventos"</f>
        <v>Organizador de conferências e eventos</v>
      </c>
    </row>
    <row r="580" spans="1:3" ht="15">
      <c r="A580">
        <v>4</v>
      </c>
      <c r="B580" t="str">
        <f>"3333"</f>
        <v>3333</v>
      </c>
      <c r="C580" t="str">
        <f>"Técnico da área do emprego "</f>
        <v>Técnico da área do emprego </v>
      </c>
    </row>
    <row r="581" spans="1:3" ht="15">
      <c r="A581">
        <v>5</v>
      </c>
      <c r="B581" t="str">
        <f>"3333.0"</f>
        <v>3333.0</v>
      </c>
      <c r="C581" t="str">
        <f>"Técnico da área do emprego "</f>
        <v>Técnico da área do emprego </v>
      </c>
    </row>
    <row r="582" spans="1:3" ht="15">
      <c r="A582">
        <v>4</v>
      </c>
      <c r="B582" t="str">
        <f>"3334"</f>
        <v>3334</v>
      </c>
      <c r="C582" t="str">
        <f>"Agente imobiliário e gestor de propriedades "</f>
        <v>Agente imobiliário e gestor de propriedades </v>
      </c>
    </row>
    <row r="583" spans="1:3" ht="15">
      <c r="A583">
        <v>5</v>
      </c>
      <c r="B583" t="str">
        <f>"3334.0"</f>
        <v>3334.0</v>
      </c>
      <c r="C583" t="str">
        <f>"Agente imobiliário e gestor de propriedades "</f>
        <v>Agente imobiliário e gestor de propriedades </v>
      </c>
    </row>
    <row r="584" spans="1:3" ht="15">
      <c r="A584">
        <v>4</v>
      </c>
      <c r="B584" t="str">
        <f>"3339"</f>
        <v>3339</v>
      </c>
      <c r="C584" t="str">
        <f>"Outros agentes de negócios "</f>
        <v>Outros agentes de negócios </v>
      </c>
    </row>
    <row r="585" spans="1:3" ht="15">
      <c r="A585">
        <v>5</v>
      </c>
      <c r="B585" t="str">
        <f>"3339.0"</f>
        <v>3339.0</v>
      </c>
      <c r="C585" t="str">
        <f>"Outros agentes de negócios "</f>
        <v>Outros agentes de negócios </v>
      </c>
    </row>
    <row r="586" spans="1:3" ht="15">
      <c r="A586">
        <v>3</v>
      </c>
      <c r="B586" t="str">
        <f>"334"</f>
        <v>334</v>
      </c>
      <c r="C586" t="str">
        <f>"Administrativos e secretários especializados "</f>
        <v>Administrativos e secretários especializados </v>
      </c>
    </row>
    <row r="587" spans="1:3" ht="15">
      <c r="A587">
        <v>4</v>
      </c>
      <c r="B587" t="str">
        <f>"3341"</f>
        <v>3341</v>
      </c>
      <c r="C587" t="str">
        <f>"Supervisor de pessoal administrativo "</f>
        <v>Supervisor de pessoal administrativo </v>
      </c>
    </row>
    <row r="588" spans="1:3" ht="15">
      <c r="A588">
        <v>5</v>
      </c>
      <c r="B588" t="str">
        <f>"3341.1"</f>
        <v>3341.1</v>
      </c>
      <c r="C588" t="str">
        <f>"Chefe de escritório "</f>
        <v>Chefe de escritório </v>
      </c>
    </row>
    <row r="589" spans="1:3" ht="15">
      <c r="A589">
        <v>5</v>
      </c>
      <c r="B589" t="str">
        <f>"3341.2"</f>
        <v>3341.2</v>
      </c>
      <c r="C589" t="str">
        <f>"Encarregado de armazém "</f>
        <v>Encarregado de armazém </v>
      </c>
    </row>
    <row r="590" spans="1:3" ht="15">
      <c r="A590">
        <v>5</v>
      </c>
      <c r="B590" t="str">
        <f>"3341.3"</f>
        <v>3341.3</v>
      </c>
      <c r="C590" t="str">
        <f>"Chefe de estação de correios "</f>
        <v>Chefe de estação de correios </v>
      </c>
    </row>
    <row r="591" spans="1:3" ht="15">
      <c r="A591">
        <v>5</v>
      </c>
      <c r="B591" t="str">
        <f>"3341.4"</f>
        <v>3341.4</v>
      </c>
      <c r="C591" t="str">
        <f>"Fiscal e encarregado de portagem "</f>
        <v>Fiscal e encarregado de portagem </v>
      </c>
    </row>
    <row r="592" spans="1:3" ht="15">
      <c r="A592">
        <v>5</v>
      </c>
      <c r="B592" t="str">
        <f>"3341.5"</f>
        <v>3341.5</v>
      </c>
      <c r="C592" t="str">
        <f>"Supervisor de cargas e descargas"</f>
        <v>Supervisor de cargas e descargas</v>
      </c>
    </row>
    <row r="593" spans="1:3" ht="15">
      <c r="A593">
        <v>5</v>
      </c>
      <c r="B593" t="str">
        <f>"3341.6"</f>
        <v>3341.6</v>
      </c>
      <c r="C593" t="str">
        <f>"Outros supervisores de pessoal administrativo "</f>
        <v>Outros supervisores de pessoal administrativo </v>
      </c>
    </row>
    <row r="594" spans="1:3" ht="15">
      <c r="A594">
        <v>4</v>
      </c>
      <c r="B594" t="str">
        <f>"3342"</f>
        <v>3342</v>
      </c>
      <c r="C594" t="str">
        <f>"Secretário da área jurídica"</f>
        <v>Secretário da área jurídica</v>
      </c>
    </row>
    <row r="595" spans="1:3" ht="15">
      <c r="A595">
        <v>5</v>
      </c>
      <c r="B595" t="str">
        <f>"3342.0"</f>
        <v>3342.0</v>
      </c>
      <c r="C595" t="str">
        <f>"Secretário da área jurídica"</f>
        <v>Secretário da área jurídica</v>
      </c>
    </row>
    <row r="596" spans="1:3" ht="15">
      <c r="A596">
        <v>4</v>
      </c>
      <c r="B596" t="str">
        <f>"3343"</f>
        <v>3343</v>
      </c>
      <c r="C596" t="str">
        <f>"Secretário administrativo e executivo"</f>
        <v>Secretário administrativo e executivo</v>
      </c>
    </row>
    <row r="597" spans="1:3" ht="15">
      <c r="A597">
        <v>5</v>
      </c>
      <c r="B597" t="str">
        <f>"3343.0"</f>
        <v>3343.0</v>
      </c>
      <c r="C597" t="str">
        <f>"Secretário administrativo e executivo"</f>
        <v>Secretário administrativo e executivo</v>
      </c>
    </row>
    <row r="598" spans="1:3" ht="15">
      <c r="A598">
        <v>4</v>
      </c>
      <c r="B598" t="str">
        <f>"3344"</f>
        <v>3344</v>
      </c>
      <c r="C598" t="str">
        <f>"Secretário da área da medicina "</f>
        <v>Secretário da área da medicina </v>
      </c>
    </row>
    <row r="599" spans="1:3" ht="15">
      <c r="A599">
        <v>5</v>
      </c>
      <c r="B599" t="str">
        <f>"3344.0"</f>
        <v>3344.0</v>
      </c>
      <c r="C599" t="str">
        <f>"Secretário da área da medicina "</f>
        <v>Secretário da área da medicina </v>
      </c>
    </row>
    <row r="600" spans="1:3" ht="15">
      <c r="A600">
        <v>3</v>
      </c>
      <c r="B600" t="str">
        <f>"335"</f>
        <v>335</v>
      </c>
      <c r="C600" t="str">
        <f>"Agentes de nível intermédio da Administração Pública, para aplicação da lei e similares"</f>
        <v>Agentes de nível intermédio da Administração Pública, para aplicação da lei e similares</v>
      </c>
    </row>
    <row r="601" spans="1:3" ht="15">
      <c r="A601">
        <v>4</v>
      </c>
      <c r="B601" t="str">
        <f>"3351"</f>
        <v>3351</v>
      </c>
      <c r="C601" t="str">
        <f>"Inspector de alfândega e de fronteira"</f>
        <v>Inspector de alfândega e de fronteira</v>
      </c>
    </row>
    <row r="602" spans="1:3" ht="15">
      <c r="A602">
        <v>5</v>
      </c>
      <c r="B602" t="str">
        <f>"3351.0"</f>
        <v>3351.0</v>
      </c>
      <c r="C602" t="str">
        <f>"Inspector de alfândega e de fronteira"</f>
        <v>Inspector de alfândega e de fronteira</v>
      </c>
    </row>
    <row r="603" spans="1:3" ht="15">
      <c r="A603">
        <v>4</v>
      </c>
      <c r="B603" t="str">
        <f>"3352"</f>
        <v>3352</v>
      </c>
      <c r="C603" t="str">
        <f>"Agente da administração tributária "</f>
        <v>Agente da administração tributária </v>
      </c>
    </row>
    <row r="604" spans="1:3" ht="15">
      <c r="A604">
        <v>5</v>
      </c>
      <c r="B604" t="str">
        <f>"3352.0"</f>
        <v>3352.0</v>
      </c>
      <c r="C604" t="str">
        <f>"Agente da administração tributária "</f>
        <v>Agente da administração tributária </v>
      </c>
    </row>
    <row r="605" spans="1:3" ht="15">
      <c r="A605">
        <v>4</v>
      </c>
      <c r="B605" t="str">
        <f>"3353"</f>
        <v>3353</v>
      </c>
      <c r="C605" t="str">
        <f>"Agente de serviços da segurança social "</f>
        <v>Agente de serviços da segurança social </v>
      </c>
    </row>
    <row r="606" spans="1:3" ht="15">
      <c r="A606">
        <v>5</v>
      </c>
      <c r="B606" t="str">
        <f>"3353.0"</f>
        <v>3353.0</v>
      </c>
      <c r="C606" t="str">
        <f>"Agente de serviços da segurança social "</f>
        <v>Agente de serviços da segurança social </v>
      </c>
    </row>
    <row r="607" spans="1:3" ht="15">
      <c r="A607">
        <v>4</v>
      </c>
      <c r="B607" t="str">
        <f>"3354"</f>
        <v>3354</v>
      </c>
      <c r="C607" t="str">
        <f>"Agente de serviços de licenciamento "</f>
        <v>Agente de serviços de licenciamento </v>
      </c>
    </row>
    <row r="608" spans="1:3" ht="15">
      <c r="A608">
        <v>5</v>
      </c>
      <c r="B608" t="str">
        <f>"3354.0"</f>
        <v>3354.0</v>
      </c>
      <c r="C608" t="str">
        <f>"Agente de serviços de licenciamento "</f>
        <v>Agente de serviços de licenciamento </v>
      </c>
    </row>
    <row r="609" spans="1:3" ht="15">
      <c r="A609">
        <v>4</v>
      </c>
      <c r="B609" t="str">
        <f>"3355"</f>
        <v>3355</v>
      </c>
      <c r="C609" t="str">
        <f>"Inspector e detective da polícia"</f>
        <v>Inspector e detective da polícia</v>
      </c>
    </row>
    <row r="610" spans="1:3" ht="15">
      <c r="A610">
        <v>5</v>
      </c>
      <c r="B610" t="str">
        <f>"3355.0"</f>
        <v>3355.0</v>
      </c>
      <c r="C610" t="str">
        <f>"Inspector e detective da polícia"</f>
        <v>Inspector e detective da polícia</v>
      </c>
    </row>
    <row r="611" spans="1:3" ht="15">
      <c r="A611">
        <v>4</v>
      </c>
      <c r="B611" t="str">
        <f>"3359"</f>
        <v>3359</v>
      </c>
      <c r="C611" t="str">
        <f>"Outros agentes de nível intermédio da Administração Pública, para aplicação da lei e similares"</f>
        <v>Outros agentes de nível intermédio da Administração Pública, para aplicação da lei e similares</v>
      </c>
    </row>
    <row r="612" spans="1:3" ht="15">
      <c r="A612">
        <v>5</v>
      </c>
      <c r="B612" t="str">
        <f>"3359.0"</f>
        <v>3359.0</v>
      </c>
      <c r="C612" t="str">
        <f>"Outros agentes de nível intermédio da Administração Pública, para aplicação da lei e similares"</f>
        <v>Outros agentes de nível intermédio da Administração Pública, para aplicação da lei e similares</v>
      </c>
    </row>
    <row r="613" spans="1:3" ht="15">
      <c r="A613">
        <v>2</v>
      </c>
      <c r="B613" t="str">
        <f>"34"</f>
        <v>34</v>
      </c>
      <c r="C613" t="str">
        <f>"Técnicos de nível intermédio dos serviços jurídicos, sociais, desportivos, culturais e similares"</f>
        <v>Técnicos de nível intermédio dos serviços jurídicos, sociais, desportivos, culturais e similares</v>
      </c>
    </row>
    <row r="614" spans="1:3" ht="15">
      <c r="A614">
        <v>3</v>
      </c>
      <c r="B614" t="str">
        <f>"341"</f>
        <v>341</v>
      </c>
      <c r="C614" t="str">
        <f>"Técnicos de nível intermédio dos serviços jurídicos, sociais e religiosos"</f>
        <v>Técnicos de nível intermédio dos serviços jurídicos, sociais e religiosos</v>
      </c>
    </row>
    <row r="615" spans="1:3" ht="15">
      <c r="A615">
        <v>4</v>
      </c>
      <c r="B615" t="str">
        <f>"3411"</f>
        <v>3411</v>
      </c>
      <c r="C615" t="str">
        <f>"Técnico de nível intermédio dos serviços jurídicos e relacionados "</f>
        <v>Técnico de nível intermédio dos serviços jurídicos e relacionados </v>
      </c>
    </row>
    <row r="616" spans="1:3" ht="15">
      <c r="A616">
        <v>5</v>
      </c>
      <c r="B616" t="str">
        <f>"3411.0"</f>
        <v>3411.0</v>
      </c>
      <c r="C616" t="str">
        <f>"Técnico de nível intermédio dos serviços jurídicos e relacionados "</f>
        <v>Técnico de nível intermédio dos serviços jurídicos e relacionados </v>
      </c>
    </row>
    <row r="617" spans="1:3" ht="15">
      <c r="A617">
        <v>4</v>
      </c>
      <c r="B617" t="str">
        <f>"3412"</f>
        <v>3412</v>
      </c>
      <c r="C617" t="str">
        <f>"Técnico de nível intermédio de apoio social"</f>
        <v>Técnico de nível intermédio de apoio social</v>
      </c>
    </row>
    <row r="618" spans="1:3" ht="15">
      <c r="A618">
        <v>5</v>
      </c>
      <c r="B618" t="str">
        <f>"3412.0"</f>
        <v>3412.0</v>
      </c>
      <c r="C618" t="str">
        <f>"Técnico de nível intermédio de apoio social"</f>
        <v>Técnico de nível intermédio de apoio social</v>
      </c>
    </row>
    <row r="619" spans="1:3" ht="15">
      <c r="A619">
        <v>4</v>
      </c>
      <c r="B619" t="str">
        <f>"3413"</f>
        <v>3413</v>
      </c>
      <c r="C619" t="str">
        <f>"Membro de ordem religiosa e técnicos de apoio religioso"</f>
        <v>Membro de ordem religiosa e técnicos de apoio religioso</v>
      </c>
    </row>
    <row r="620" spans="1:3" ht="15">
      <c r="A620">
        <v>5</v>
      </c>
      <c r="B620" t="str">
        <f>"3413.0"</f>
        <v>3413.0</v>
      </c>
      <c r="C620" t="str">
        <f>"Membro de ordem religiosa e técnicos de apoio religioso"</f>
        <v>Membro de ordem religiosa e técnicos de apoio religioso</v>
      </c>
    </row>
    <row r="621" spans="1:3" ht="15">
      <c r="A621">
        <v>3</v>
      </c>
      <c r="B621" t="str">
        <f>"342"</f>
        <v>342</v>
      </c>
      <c r="C621" t="str">
        <f>"Técnicos de actividade física e de desporto "</f>
        <v>Técnicos de actividade física e de desporto </v>
      </c>
    </row>
    <row r="622" spans="1:3" ht="15">
      <c r="A622">
        <v>4</v>
      </c>
      <c r="B622" t="str">
        <f>"3421"</f>
        <v>3421</v>
      </c>
      <c r="C622" t="str">
        <f>"Atletas e desportistas de competição "</f>
        <v>Atletas e desportistas de competição </v>
      </c>
    </row>
    <row r="623" spans="1:3" ht="15">
      <c r="A623">
        <v>5</v>
      </c>
      <c r="B623" t="str">
        <f>"3421.1"</f>
        <v>3421.1</v>
      </c>
      <c r="C623" t="str">
        <f>"Jogador profissional de futebol "</f>
        <v>Jogador profissional de futebol </v>
      </c>
    </row>
    <row r="624" spans="1:3" ht="15">
      <c r="A624">
        <v>5</v>
      </c>
      <c r="B624" t="str">
        <f>"3421.2"</f>
        <v>3421.2</v>
      </c>
      <c r="C624" t="str">
        <f>"Ciclista profissional"</f>
        <v>Ciclista profissional</v>
      </c>
    </row>
    <row r="625" spans="1:3" ht="15">
      <c r="A625">
        <v>5</v>
      </c>
      <c r="B625" t="str">
        <f>"3421.3"</f>
        <v>3421.3</v>
      </c>
      <c r="C625" t="str">
        <f>"Outros atletas e desportistas de competição "</f>
        <v>Outros atletas e desportistas de competição </v>
      </c>
    </row>
    <row r="626" spans="1:3" ht="15">
      <c r="A626">
        <v>4</v>
      </c>
      <c r="B626" t="str">
        <f>"3422"</f>
        <v>3422</v>
      </c>
      <c r="C626" t="str">
        <f>"Treinadores, instrutores e árbitros, de desportos"</f>
        <v>Treinadores, instrutores e árbitros, de desportos</v>
      </c>
    </row>
    <row r="627" spans="1:3" ht="15">
      <c r="A627">
        <v>5</v>
      </c>
      <c r="B627" t="str">
        <f>"3422.1"</f>
        <v>3422.1</v>
      </c>
      <c r="C627" t="str">
        <f>"Treinador de desportos"</f>
        <v>Treinador de desportos</v>
      </c>
    </row>
    <row r="628" spans="1:3" ht="15">
      <c r="A628">
        <v>5</v>
      </c>
      <c r="B628" t="str">
        <f>"3422.2"</f>
        <v>3422.2</v>
      </c>
      <c r="C628" t="str">
        <f>"Árbitro (juiz) de desportos"</f>
        <v>Árbitro (juiz) de desportos</v>
      </c>
    </row>
    <row r="629" spans="1:3" ht="15">
      <c r="A629">
        <v>5</v>
      </c>
      <c r="B629" t="str">
        <f>"3422.3"</f>
        <v>3422.3</v>
      </c>
      <c r="C629" t="str">
        <f>"Instrutor de desportos "</f>
        <v>Instrutor de desportos </v>
      </c>
    </row>
    <row r="630" spans="1:3" ht="15">
      <c r="A630">
        <v>4</v>
      </c>
      <c r="B630" t="str">
        <f>"3423"</f>
        <v>3423</v>
      </c>
      <c r="C630" t="str">
        <f>"Instrutores e monitores de actividade física e recreação "</f>
        <v>Instrutores e monitores de actividade física e recreação </v>
      </c>
    </row>
    <row r="631" spans="1:3" ht="15">
      <c r="A631">
        <v>5</v>
      </c>
      <c r="B631" t="str">
        <f>"3423.0"</f>
        <v>3423.0</v>
      </c>
      <c r="C631" t="str">
        <f>"Instrutores e monitores de actividade física e recreação "</f>
        <v>Instrutores e monitores de actividade física e recreação </v>
      </c>
    </row>
    <row r="632" spans="1:3" ht="15">
      <c r="A632">
        <v>3</v>
      </c>
      <c r="B632" t="str">
        <f>"343"</f>
        <v>343</v>
      </c>
      <c r="C632" t="str">
        <f>"Técnicos de nível intermédio das actividades culturais, artísticas e culinárias"</f>
        <v>Técnicos de nível intermédio das actividades culturais, artísticas e culinárias</v>
      </c>
    </row>
    <row r="633" spans="1:3" ht="15">
      <c r="A633">
        <v>4</v>
      </c>
      <c r="B633" t="str">
        <f>"3431"</f>
        <v>3431</v>
      </c>
      <c r="C633" t="str">
        <f>"Fotógrafo"</f>
        <v>Fotógrafo</v>
      </c>
    </row>
    <row r="634" spans="1:3" ht="15">
      <c r="A634">
        <v>5</v>
      </c>
      <c r="B634" t="str">
        <f>"3431.0"</f>
        <v>3431.0</v>
      </c>
      <c r="C634" t="str">
        <f>"Fotógrafo"</f>
        <v>Fotógrafo</v>
      </c>
    </row>
    <row r="635" spans="1:3" ht="15">
      <c r="A635">
        <v>4</v>
      </c>
      <c r="B635" t="str">
        <f>"3432"</f>
        <v>3432</v>
      </c>
      <c r="C635" t="str">
        <f>"Decorador"</f>
        <v>Decorador</v>
      </c>
    </row>
    <row r="636" spans="1:3" ht="15">
      <c r="A636">
        <v>5</v>
      </c>
      <c r="B636" t="str">
        <f>"3432.0"</f>
        <v>3432.0</v>
      </c>
      <c r="C636" t="str">
        <f>"Decorador"</f>
        <v>Decorador</v>
      </c>
    </row>
    <row r="637" spans="1:3" ht="15">
      <c r="A637">
        <v>4</v>
      </c>
      <c r="B637" t="str">
        <f>"3433"</f>
        <v>3433</v>
      </c>
      <c r="C637" t="str">
        <f>"Técnicos de galerias, bibliotecas, arquivos e museus"</f>
        <v>Técnicos de galerias, bibliotecas, arquivos e museus</v>
      </c>
    </row>
    <row r="638" spans="1:3" ht="15">
      <c r="A638">
        <v>5</v>
      </c>
      <c r="B638" t="str">
        <f>"3433.0"</f>
        <v>3433.0</v>
      </c>
      <c r="C638" t="str">
        <f>"Técnicos de galerias, bibliotecas, arquivos e museus"</f>
        <v>Técnicos de galerias, bibliotecas, arquivos e museus</v>
      </c>
    </row>
    <row r="639" spans="1:3" ht="15">
      <c r="A639">
        <v>4</v>
      </c>
      <c r="B639" t="str">
        <f>"3434"</f>
        <v>3434</v>
      </c>
      <c r="C639" t="str">
        <f>"Chefe de cozinha"</f>
        <v>Chefe de cozinha</v>
      </c>
    </row>
    <row r="640" spans="1:3" ht="15">
      <c r="A640">
        <v>5</v>
      </c>
      <c r="B640" t="str">
        <f>"3434.0"</f>
        <v>3434.0</v>
      </c>
      <c r="C640" t="str">
        <f>"Chefe de cozinha"</f>
        <v>Chefe de cozinha</v>
      </c>
    </row>
    <row r="641" spans="1:3" ht="15">
      <c r="A641">
        <v>4</v>
      </c>
      <c r="B641" t="str">
        <f>"3435"</f>
        <v>3435</v>
      </c>
      <c r="C641" t="str">
        <f>"Outros técnicos de nível intermédio das actividades culturais e artísticas"</f>
        <v>Outros técnicos de nível intermédio das actividades culturais e artísticas</v>
      </c>
    </row>
    <row r="642" spans="1:3" ht="15">
      <c r="A642">
        <v>5</v>
      </c>
      <c r="B642" t="str">
        <f>"3435.1"</f>
        <v>3435.1</v>
      </c>
      <c r="C642" t="str">
        <f>"Toureiro, cavaleiro tauromáquico e outros profissionais similares"</f>
        <v>Toureiro, cavaleiro tauromáquico e outros profissionais similares</v>
      </c>
    </row>
    <row r="643" spans="1:3" ht="15">
      <c r="A643">
        <v>5</v>
      </c>
      <c r="B643" t="str">
        <f>"3435.2"</f>
        <v>3435.2</v>
      </c>
      <c r="C643" t="str">
        <f>"Outros técnicos de nível intermédio das actividades culturais e artísticas, n.e."</f>
        <v>Outros técnicos de nível intermédio das actividades culturais e artísticas, n.e.</v>
      </c>
    </row>
    <row r="644" spans="1:3" ht="15">
      <c r="A644">
        <v>2</v>
      </c>
      <c r="B644" t="str">
        <f>"35"</f>
        <v>35</v>
      </c>
      <c r="C644" t="str">
        <f>"Técnicos das tecnologias de informação e comunicação "</f>
        <v>Técnicos das tecnologias de informação e comunicação </v>
      </c>
    </row>
    <row r="645" spans="1:3" ht="15">
      <c r="A645">
        <v>3</v>
      </c>
      <c r="B645" t="str">
        <f>"351"</f>
        <v>351</v>
      </c>
      <c r="C645" t="str">
        <f>"Técnicos operadores das tecnologias de informação e comunicação e de apoio aos utilizadores "</f>
        <v>Técnicos operadores das tecnologias de informação e comunicação e de apoio aos utilizadores </v>
      </c>
    </row>
    <row r="646" spans="1:3" ht="15">
      <c r="A646">
        <v>4</v>
      </c>
      <c r="B646" t="str">
        <f>"3511"</f>
        <v>3511</v>
      </c>
      <c r="C646" t="str">
        <f>"Técnico operador das tecnologias de informação e comunicação (TIC) "</f>
        <v>Técnico operador das tecnologias de informação e comunicação (TIC) </v>
      </c>
    </row>
    <row r="647" spans="1:3" ht="15">
      <c r="A647">
        <v>5</v>
      </c>
      <c r="B647" t="str">
        <f>"3511.0"</f>
        <v>3511.0</v>
      </c>
      <c r="C647" t="str">
        <f>"Técnico operador das tecnologias de informação e comunicação (TIC) "</f>
        <v>Técnico operador das tecnologias de informação e comunicação (TIC) </v>
      </c>
    </row>
    <row r="648" spans="1:3" ht="15">
      <c r="A648">
        <v>4</v>
      </c>
      <c r="B648" t="str">
        <f>"3512"</f>
        <v>3512</v>
      </c>
      <c r="C648" t="str">
        <f>"Técnico de apoio aos utilizadores das tecnologias da informação e comunicação (TIC)"</f>
        <v>Técnico de apoio aos utilizadores das tecnologias da informação e comunicação (TIC)</v>
      </c>
    </row>
    <row r="649" spans="1:3" ht="15">
      <c r="A649">
        <v>5</v>
      </c>
      <c r="B649" t="str">
        <f>"3512.0"</f>
        <v>3512.0</v>
      </c>
      <c r="C649" t="str">
        <f>"Técnico de apoio aos utilizadores das tecnologias da informação e comunicação (TIC)"</f>
        <v>Técnico de apoio aos utilizadores das tecnologias da informação e comunicação (TIC)</v>
      </c>
    </row>
    <row r="650" spans="1:3" ht="15">
      <c r="A650">
        <v>4</v>
      </c>
      <c r="B650" t="str">
        <f>"3513"</f>
        <v>3513</v>
      </c>
      <c r="C650" t="str">
        <f>"Técnico em redes e sistemas de computadores"</f>
        <v>Técnico em redes e sistemas de computadores</v>
      </c>
    </row>
    <row r="651" spans="1:3" ht="15">
      <c r="A651">
        <v>5</v>
      </c>
      <c r="B651" t="str">
        <f>"3513.0"</f>
        <v>3513.0</v>
      </c>
      <c r="C651" t="str">
        <f>"Técnico em redes e sistemas de computadores"</f>
        <v>Técnico em redes e sistemas de computadores</v>
      </c>
    </row>
    <row r="652" spans="1:3" ht="15">
      <c r="A652">
        <v>4</v>
      </c>
      <c r="B652" t="str">
        <f>"3514"</f>
        <v>3514</v>
      </c>
      <c r="C652" t="str">
        <f>"Técnico da Web"</f>
        <v>Técnico da Web</v>
      </c>
    </row>
    <row r="653" spans="1:3" ht="15">
      <c r="A653">
        <v>5</v>
      </c>
      <c r="B653" t="str">
        <f>"3514.0"</f>
        <v>3514.0</v>
      </c>
      <c r="C653" t="str">
        <f>"Técnico da Web"</f>
        <v>Técnico da Web</v>
      </c>
    </row>
    <row r="654" spans="1:3" ht="15">
      <c r="A654">
        <v>3</v>
      </c>
      <c r="B654" t="str">
        <f>"352"</f>
        <v>352</v>
      </c>
      <c r="C654" t="str">
        <f>"Técnicos das telecomunicações e da radiodifusão"</f>
        <v>Técnicos das telecomunicações e da radiodifusão</v>
      </c>
    </row>
    <row r="655" spans="1:3" ht="15">
      <c r="A655">
        <v>4</v>
      </c>
      <c r="B655" t="str">
        <f>"3521"</f>
        <v>3521</v>
      </c>
      <c r="C655" t="str">
        <f>"Técnicos de emissões de rádio e televisão e de gravação audiovisual e de sistemas de comunicações via rádio "</f>
        <v>Técnicos de emissões de rádio e televisão e de gravação audiovisual e de sistemas de comunicações via rádio </v>
      </c>
    </row>
    <row r="656" spans="1:3" ht="15">
      <c r="A656">
        <v>5</v>
      </c>
      <c r="B656" t="str">
        <f>"3521.1"</f>
        <v>3521.1</v>
      </c>
      <c r="C656" t="str">
        <f>"Técnico de emissões de rádio "</f>
        <v>Técnico de emissões de rádio </v>
      </c>
    </row>
    <row r="657" spans="1:3" ht="15">
      <c r="A657">
        <v>5</v>
      </c>
      <c r="B657" t="str">
        <f>"3521.2"</f>
        <v>3521.2</v>
      </c>
      <c r="C657" t="str">
        <f>"Técnico de emissões de televisão "</f>
        <v>Técnico de emissões de televisão </v>
      </c>
    </row>
    <row r="658" spans="1:3" ht="15">
      <c r="A658">
        <v>5</v>
      </c>
      <c r="B658" t="str">
        <f>"3521.3"</f>
        <v>3521.3</v>
      </c>
      <c r="C658" t="str">
        <f>"Técnico de gravação audiovisual "</f>
        <v>Técnico de gravação audiovisual </v>
      </c>
    </row>
    <row r="659" spans="1:3" ht="15">
      <c r="A659">
        <v>5</v>
      </c>
      <c r="B659" t="str">
        <f>"3521.4"</f>
        <v>3521.4</v>
      </c>
      <c r="C659" t="str">
        <f>"Técnico de sistemas de comunicações via rádio "</f>
        <v>Técnico de sistemas de comunicações via rádio </v>
      </c>
    </row>
    <row r="660" spans="1:3" ht="15">
      <c r="A660">
        <v>4</v>
      </c>
      <c r="B660" t="str">
        <f>"3522"</f>
        <v>3522</v>
      </c>
      <c r="C660" t="str">
        <f>"Técnico de telecomunicações"</f>
        <v>Técnico de telecomunicações</v>
      </c>
    </row>
    <row r="661" spans="1:3" ht="15">
      <c r="A661">
        <v>5</v>
      </c>
      <c r="B661" t="str">
        <f>"3522.0"</f>
        <v>3522.0</v>
      </c>
      <c r="C661" t="str">
        <f>"Técnico de telecomunicações"</f>
        <v>Técnico de telecomunicações</v>
      </c>
    </row>
    <row r="662" spans="1:3" ht="15">
      <c r="A662">
        <v>1</v>
      </c>
      <c r="B662" t="str">
        <f>"4"</f>
        <v>4</v>
      </c>
      <c r="C662" t="str">
        <f>"Pessoal administrativo"</f>
        <v>Pessoal administrativo</v>
      </c>
    </row>
    <row r="663" spans="1:3" ht="15">
      <c r="A663">
        <v>2</v>
      </c>
      <c r="B663" t="str">
        <f>"41"</f>
        <v>41</v>
      </c>
      <c r="C663" t="str">
        <f>"Empregados de escritório, secretários em geral e operadores de processamento de dados "</f>
        <v>Empregados de escritório, secretários em geral e operadores de processamento de dados </v>
      </c>
    </row>
    <row r="664" spans="1:3" ht="15">
      <c r="A664">
        <v>3</v>
      </c>
      <c r="B664" t="str">
        <f>"411"</f>
        <v>411</v>
      </c>
      <c r="C664" t="str">
        <f>"Empregado de escritório em geral"</f>
        <v>Empregado de escritório em geral</v>
      </c>
    </row>
    <row r="665" spans="1:3" ht="15">
      <c r="A665">
        <v>4</v>
      </c>
      <c r="B665" t="str">
        <f>"4110"</f>
        <v>4110</v>
      </c>
      <c r="C665" t="str">
        <f>"Empregado de escritório em geral"</f>
        <v>Empregado de escritório em geral</v>
      </c>
    </row>
    <row r="666" spans="1:3" ht="15">
      <c r="A666">
        <v>5</v>
      </c>
      <c r="B666" t="str">
        <f>"4110.0"</f>
        <v>4110.0</v>
      </c>
      <c r="C666" t="str">
        <f>"Empregado de escritório em geral"</f>
        <v>Empregado de escritório em geral</v>
      </c>
    </row>
    <row r="667" spans="1:3" ht="15">
      <c r="A667">
        <v>3</v>
      </c>
      <c r="B667" t="str">
        <f>"412"</f>
        <v>412</v>
      </c>
      <c r="C667" t="str">
        <f>"Técnico de secretariado"</f>
        <v>Técnico de secretariado</v>
      </c>
    </row>
    <row r="668" spans="1:3" ht="15">
      <c r="A668">
        <v>4</v>
      </c>
      <c r="B668" t="str">
        <f>"4120"</f>
        <v>4120</v>
      </c>
      <c r="C668" t="str">
        <f>"Técnico de secretariado"</f>
        <v>Técnico de secretariado</v>
      </c>
    </row>
    <row r="669" spans="1:3" ht="15">
      <c r="A669">
        <v>5</v>
      </c>
      <c r="B669" t="str">
        <f>"4120.0"</f>
        <v>4120.0</v>
      </c>
      <c r="C669" t="str">
        <f>"Técnico de secretariado"</f>
        <v>Técnico de secretariado</v>
      </c>
    </row>
    <row r="670" spans="1:3" ht="15">
      <c r="A670">
        <v>3</v>
      </c>
      <c r="B670" t="str">
        <f>"413"</f>
        <v>413</v>
      </c>
      <c r="C670" t="str">
        <f>"Operadores de processamento de texto e dados"</f>
        <v>Operadores de processamento de texto e dados</v>
      </c>
    </row>
    <row r="671" spans="1:3" ht="15">
      <c r="A671">
        <v>4</v>
      </c>
      <c r="B671" t="str">
        <f>"4131"</f>
        <v>4131</v>
      </c>
      <c r="C671" t="str">
        <f>"Dactilógrafo e operador de processamento de texto"</f>
        <v>Dactilógrafo e operador de processamento de texto</v>
      </c>
    </row>
    <row r="672" spans="1:3" ht="15">
      <c r="A672">
        <v>5</v>
      </c>
      <c r="B672" t="str">
        <f>"4131.0"</f>
        <v>4131.0</v>
      </c>
      <c r="C672" t="str">
        <f>"Dactilógrafo e operador de processamento de texto"</f>
        <v>Dactilógrafo e operador de processamento de texto</v>
      </c>
    </row>
    <row r="673" spans="1:3" ht="15">
      <c r="A673">
        <v>4</v>
      </c>
      <c r="B673" t="str">
        <f>"4132"</f>
        <v>4132</v>
      </c>
      <c r="C673" t="str">
        <f>"Operador de registo de dados"</f>
        <v>Operador de registo de dados</v>
      </c>
    </row>
    <row r="674" spans="1:3" ht="15">
      <c r="A674">
        <v>5</v>
      </c>
      <c r="B674" t="str">
        <f>"4132.0"</f>
        <v>4132.0</v>
      </c>
      <c r="C674" t="str">
        <f>"Operador de registo de dados"</f>
        <v>Operador de registo de dados</v>
      </c>
    </row>
    <row r="675" spans="1:3" ht="15">
      <c r="A675">
        <v>2</v>
      </c>
      <c r="B675" t="str">
        <f>"42"</f>
        <v>42</v>
      </c>
      <c r="C675" t="str">
        <f>"Pessoal de apoio directo a clientes "</f>
        <v>Pessoal de apoio directo a clientes </v>
      </c>
    </row>
    <row r="676" spans="1:3" ht="15">
      <c r="A676">
        <v>3</v>
      </c>
      <c r="B676" t="str">
        <f>"421"</f>
        <v>421</v>
      </c>
      <c r="C676" t="str">
        <f>"Caixas, penhoristas e similares"</f>
        <v>Caixas, penhoristas e similares</v>
      </c>
    </row>
    <row r="677" spans="1:3" ht="15">
      <c r="A677">
        <v>4</v>
      </c>
      <c r="B677" t="str">
        <f>"4211"</f>
        <v>4211</v>
      </c>
      <c r="C677" t="str">
        <f>"Caixa bancário e similar"</f>
        <v>Caixa bancário e similar</v>
      </c>
    </row>
    <row r="678" spans="1:3" ht="15">
      <c r="A678">
        <v>5</v>
      </c>
      <c r="B678" t="str">
        <f>"4211.0"</f>
        <v>4211.0</v>
      </c>
      <c r="C678" t="str">
        <f>"Caixa bancário e similar"</f>
        <v>Caixa bancário e similar</v>
      </c>
    </row>
    <row r="679" spans="1:3" ht="15">
      <c r="A679">
        <v>4</v>
      </c>
      <c r="B679" t="str">
        <f>"4212"</f>
        <v>4212</v>
      </c>
      <c r="C679" t="str">
        <f>"Empregado de banca nos casinos e outros empregados de apostas"</f>
        <v>Empregado de banca nos casinos e outros empregados de apostas</v>
      </c>
    </row>
    <row r="680" spans="1:3" ht="15">
      <c r="A680">
        <v>5</v>
      </c>
      <c r="B680" t="str">
        <f>"4212.0"</f>
        <v>4212.0</v>
      </c>
      <c r="C680" t="str">
        <f>"Empregado de banca nos casinos e outros empregados de apostas"</f>
        <v>Empregado de banca nos casinos e outros empregados de apostas</v>
      </c>
    </row>
    <row r="681" spans="1:3" ht="15">
      <c r="A681">
        <v>4</v>
      </c>
      <c r="B681" t="str">
        <f>"4213"</f>
        <v>4213</v>
      </c>
      <c r="C681" t="str">
        <f>"Penhorista e prestamista "</f>
        <v>Penhorista e prestamista </v>
      </c>
    </row>
    <row r="682" spans="1:3" ht="15">
      <c r="A682">
        <v>5</v>
      </c>
      <c r="B682" t="str">
        <f>"4213.0"</f>
        <v>4213.0</v>
      </c>
      <c r="C682" t="str">
        <f>"Penhorista e prestamista "</f>
        <v>Penhorista e prestamista </v>
      </c>
    </row>
    <row r="683" spans="1:3" ht="15">
      <c r="A683">
        <v>4</v>
      </c>
      <c r="B683" t="str">
        <f>"4214"</f>
        <v>4214</v>
      </c>
      <c r="C683" t="str">
        <f>"Cobrador de facturas e similares"</f>
        <v>Cobrador de facturas e similares</v>
      </c>
    </row>
    <row r="684" spans="1:3" ht="15">
      <c r="A684">
        <v>5</v>
      </c>
      <c r="B684" t="str">
        <f>"4214.0"</f>
        <v>4214.0</v>
      </c>
      <c r="C684" t="str">
        <f>"Cobrador de facturas e similares"</f>
        <v>Cobrador de facturas e similares</v>
      </c>
    </row>
    <row r="685" spans="1:3" ht="15">
      <c r="A685">
        <v>3</v>
      </c>
      <c r="B685" t="str">
        <f>"422"</f>
        <v>422</v>
      </c>
      <c r="C685" t="str">
        <f>"Pessoal de recepção e de informação a clientes"</f>
        <v>Pessoal de recepção e de informação a clientes</v>
      </c>
    </row>
    <row r="686" spans="1:3" ht="15">
      <c r="A686">
        <v>4</v>
      </c>
      <c r="B686" t="str">
        <f>"4221"</f>
        <v>4221</v>
      </c>
      <c r="C686" t="str">
        <f>"Empregado das agências de viagens "</f>
        <v>Empregado das agências de viagens </v>
      </c>
    </row>
    <row r="687" spans="1:3" ht="15">
      <c r="A687">
        <v>5</v>
      </c>
      <c r="B687" t="str">
        <f>"4221.0"</f>
        <v>4221.0</v>
      </c>
      <c r="C687" t="str">
        <f>"Empregado das agências de viagens"</f>
        <v>Empregado das agências de viagens</v>
      </c>
    </row>
    <row r="688" spans="1:3" ht="15">
      <c r="A688">
        <v>4</v>
      </c>
      <c r="B688" t="str">
        <f>"4222"</f>
        <v>4222</v>
      </c>
      <c r="C688" t="str">
        <f>"Empregado dos centros de chamadas"</f>
        <v>Empregado dos centros de chamadas</v>
      </c>
    </row>
    <row r="689" spans="1:3" ht="15">
      <c r="A689">
        <v>5</v>
      </c>
      <c r="B689" t="str">
        <f>"4222.0"</f>
        <v>4222.0</v>
      </c>
      <c r="C689" t="str">
        <f>"Empregado dos centros de chamadas"</f>
        <v>Empregado dos centros de chamadas</v>
      </c>
    </row>
    <row r="690" spans="1:3" ht="15">
      <c r="A690">
        <v>4</v>
      </c>
      <c r="B690" t="str">
        <f>"4223"</f>
        <v>4223</v>
      </c>
      <c r="C690" t="str">
        <f>"Operador de central telefónica"</f>
        <v>Operador de central telefónica</v>
      </c>
    </row>
    <row r="691" spans="1:3" ht="15">
      <c r="A691">
        <v>5</v>
      </c>
      <c r="B691" t="str">
        <f>"4223.0"</f>
        <v>4223.0</v>
      </c>
      <c r="C691" t="str">
        <f>"Operador de central telefónica"</f>
        <v>Operador de central telefónica</v>
      </c>
    </row>
    <row r="692" spans="1:3" ht="15">
      <c r="A692">
        <v>4</v>
      </c>
      <c r="B692" t="str">
        <f>"4224"</f>
        <v>4224</v>
      </c>
      <c r="C692" t="str">
        <f>"Recepcionista de hotel  "</f>
        <v>Recepcionista de hotel  </v>
      </c>
    </row>
    <row r="693" spans="1:3" ht="15">
      <c r="A693">
        <v>5</v>
      </c>
      <c r="B693" t="str">
        <f>"4224.0"</f>
        <v>4224.0</v>
      </c>
      <c r="C693" t="str">
        <f>"Recepcionista de hotel  "</f>
        <v>Recepcionista de hotel  </v>
      </c>
    </row>
    <row r="694" spans="1:3" ht="15">
      <c r="A694">
        <v>4</v>
      </c>
      <c r="B694" t="str">
        <f>"4225"</f>
        <v>4225</v>
      </c>
      <c r="C694" t="str">
        <f>"Pessoal de informação administrativa"</f>
        <v>Pessoal de informação administrativa</v>
      </c>
    </row>
    <row r="695" spans="1:3" ht="15">
      <c r="A695">
        <v>5</v>
      </c>
      <c r="B695" t="str">
        <f>"4225.0"</f>
        <v>4225.0</v>
      </c>
      <c r="C695" t="str">
        <f>"Pessoal de informação administrativa"</f>
        <v>Pessoal de informação administrativa</v>
      </c>
    </row>
    <row r="696" spans="1:3" ht="15">
      <c r="A696">
        <v>4</v>
      </c>
      <c r="B696" t="str">
        <f>"4226"</f>
        <v>4226</v>
      </c>
      <c r="C696" t="str">
        <f>"Recepcionista, excepto de hotel "</f>
        <v>Recepcionista, excepto de hotel </v>
      </c>
    </row>
    <row r="697" spans="1:3" ht="15">
      <c r="A697">
        <v>5</v>
      </c>
      <c r="B697" t="str">
        <f>"4226.0"</f>
        <v>4226.0</v>
      </c>
      <c r="C697" t="str">
        <f>"Recepcionista, excepto de hotel "</f>
        <v>Recepcionista, excepto de hotel </v>
      </c>
    </row>
    <row r="698" spans="1:3" ht="15">
      <c r="A698">
        <v>4</v>
      </c>
      <c r="B698" t="str">
        <f>"4227"</f>
        <v>4227</v>
      </c>
      <c r="C698" t="str">
        <f>"Entrevistador de inquéritos e de estudos de mercado"</f>
        <v>Entrevistador de inquéritos e de estudos de mercado</v>
      </c>
    </row>
    <row r="699" spans="1:3" ht="15">
      <c r="A699">
        <v>5</v>
      </c>
      <c r="B699" t="str">
        <f>"4227.0"</f>
        <v>4227.0</v>
      </c>
      <c r="C699" t="str">
        <f>"Entrevistador de inquéritos e de estudos de mercado"</f>
        <v>Entrevistador de inquéritos e de estudos de mercado</v>
      </c>
    </row>
    <row r="700" spans="1:3" ht="15">
      <c r="A700">
        <v>4</v>
      </c>
      <c r="B700" t="str">
        <f>"4229"</f>
        <v>4229</v>
      </c>
      <c r="C700" t="str">
        <f>"Outro pessoal de recepção e de informação a clientes "</f>
        <v>Outro pessoal de recepção e de informação a clientes </v>
      </c>
    </row>
    <row r="701" spans="1:3" ht="15">
      <c r="A701">
        <v>5</v>
      </c>
      <c r="B701" t="str">
        <f>"4229.0"</f>
        <v>4229.0</v>
      </c>
      <c r="C701" t="str">
        <f>"Outro pessoal de recepção e de informação a clientes "</f>
        <v>Outro pessoal de recepção e de informação a clientes </v>
      </c>
    </row>
    <row r="702" spans="1:3" ht="15">
      <c r="A702">
        <v>2</v>
      </c>
      <c r="B702" t="str">
        <f>"43"</f>
        <v>43</v>
      </c>
      <c r="C702" t="str">
        <f>"Operadores de dados, de contabilidade, estatística, de serviços financeiros e relacionados com o registo"</f>
        <v>Operadores de dados, de contabilidade, estatística, de serviços financeiros e relacionados com o registo</v>
      </c>
    </row>
    <row r="703" spans="1:3" ht="15">
      <c r="A703">
        <v>3</v>
      </c>
      <c r="B703" t="str">
        <f>"431"</f>
        <v>431</v>
      </c>
      <c r="C703" t="str">
        <f>"Operadores de dados, de contabilidade, estatística e serviços financeiros "</f>
        <v>Operadores de dados, de contabilidade, estatística e serviços financeiros </v>
      </c>
    </row>
    <row r="704" spans="1:3" ht="15">
      <c r="A704">
        <v>4</v>
      </c>
      <c r="B704" t="str">
        <f>"4311"</f>
        <v>4311</v>
      </c>
      <c r="C704" t="str">
        <f>"Operador de contabilidade e escrituração comercial"</f>
        <v>Operador de contabilidade e escrituração comercial</v>
      </c>
    </row>
    <row r="705" spans="1:3" ht="15">
      <c r="A705">
        <v>5</v>
      </c>
      <c r="B705" t="str">
        <f>"4311.0"</f>
        <v>4311.0</v>
      </c>
      <c r="C705" t="str">
        <f>"Operador de contabilidade e escrituração comercial"</f>
        <v>Operador de contabilidade e escrituração comercial</v>
      </c>
    </row>
    <row r="706" spans="1:3" ht="15">
      <c r="A706">
        <v>4</v>
      </c>
      <c r="B706" t="str">
        <f>"4312"</f>
        <v>4312</v>
      </c>
      <c r="C706" t="str">
        <f>"Operador dos serviços de estatística, financeiros e seguros"</f>
        <v>Operador dos serviços de estatística, financeiros e seguros</v>
      </c>
    </row>
    <row r="707" spans="1:3" ht="15">
      <c r="A707">
        <v>5</v>
      </c>
      <c r="B707" t="str">
        <f>"4312.0"</f>
        <v>4312.0</v>
      </c>
      <c r="C707" t="str">
        <f>"Operador dos serviços de estatística, financeiros e seguros"</f>
        <v>Operador dos serviços de estatística, financeiros e seguros</v>
      </c>
    </row>
    <row r="708" spans="1:3" ht="15">
      <c r="A708">
        <v>4</v>
      </c>
      <c r="B708" t="str">
        <f>"4313"</f>
        <v>4313</v>
      </c>
      <c r="C708" t="str">
        <f>"Operador de dados de processamento de pagamentos "</f>
        <v>Operador de dados de processamento de pagamentos </v>
      </c>
    </row>
    <row r="709" spans="1:3" ht="15">
      <c r="A709">
        <v>5</v>
      </c>
      <c r="B709" t="str">
        <f>"4313.0"</f>
        <v>4313.0</v>
      </c>
      <c r="C709" t="str">
        <f>"Operador de dados de processamento de pagamentos "</f>
        <v>Operador de dados de processamento de pagamentos </v>
      </c>
    </row>
    <row r="710" spans="1:3" ht="15">
      <c r="A710">
        <v>3</v>
      </c>
      <c r="B710" t="str">
        <f>"432"</f>
        <v>432</v>
      </c>
      <c r="C710" t="str">
        <f>"Empregados de aprovisionamento, armazém, de serviços de apoio à produção e transportes"</f>
        <v>Empregados de aprovisionamento, armazém, de serviços de apoio à produção e transportes</v>
      </c>
    </row>
    <row r="711" spans="1:3" ht="15">
      <c r="A711">
        <v>4</v>
      </c>
      <c r="B711" t="str">
        <f>"4321"</f>
        <v>4321</v>
      </c>
      <c r="C711" t="str">
        <f>"Empregados de aprovisionamento e armazém "</f>
        <v>Empregados de aprovisionamento e armazém </v>
      </c>
    </row>
    <row r="712" spans="1:3" ht="15">
      <c r="A712">
        <v>5</v>
      </c>
      <c r="B712" t="str">
        <f>"4321.1"</f>
        <v>4321.1</v>
      </c>
      <c r="C712" t="str">
        <f>"Empregado de aprovisionamento"</f>
        <v>Empregado de aprovisionamento</v>
      </c>
    </row>
    <row r="713" spans="1:3" ht="15">
      <c r="A713">
        <v>5</v>
      </c>
      <c r="B713" t="str">
        <f>"4321.2"</f>
        <v>4321.2</v>
      </c>
      <c r="C713" t="str">
        <f>"Empregado de armazém "</f>
        <v>Empregado de armazém </v>
      </c>
    </row>
    <row r="714" spans="1:3" ht="15">
      <c r="A714">
        <v>4</v>
      </c>
      <c r="B714" t="str">
        <f>"4322"</f>
        <v>4322</v>
      </c>
      <c r="C714" t="str">
        <f>"Empregado de serviços de apoio à produção"</f>
        <v>Empregado de serviços de apoio à produção</v>
      </c>
    </row>
    <row r="715" spans="1:3" ht="15">
      <c r="A715">
        <v>5</v>
      </c>
      <c r="B715" t="str">
        <f>"4322.0"</f>
        <v>4322.0</v>
      </c>
      <c r="C715" t="str">
        <f>"Empregado de serviços de apoio à produção"</f>
        <v>Empregado de serviços de apoio à produção</v>
      </c>
    </row>
    <row r="716" spans="1:3" ht="15">
      <c r="A716">
        <v>4</v>
      </c>
      <c r="B716" t="str">
        <f>"4323"</f>
        <v>4323</v>
      </c>
      <c r="C716" t="str">
        <f>"Empregado de controlo de registo dos serviços de transporte"</f>
        <v>Empregado de controlo de registo dos serviços de transporte</v>
      </c>
    </row>
    <row r="717" spans="1:3" ht="15">
      <c r="A717">
        <v>5</v>
      </c>
      <c r="B717" t="str">
        <f>"4323.1"</f>
        <v>4323.1</v>
      </c>
      <c r="C717" t="str">
        <f>"Controlador de transportes terrestres de passageiros"</f>
        <v>Controlador de transportes terrestres de passageiros</v>
      </c>
    </row>
    <row r="718" spans="1:3" ht="15">
      <c r="A718">
        <v>5</v>
      </c>
      <c r="B718" t="str">
        <f>"4323.2"</f>
        <v>4323.2</v>
      </c>
      <c r="C718" t="str">
        <f>"Controlador de transportes terrestres de mercadorias"</f>
        <v>Controlador de transportes terrestres de mercadorias</v>
      </c>
    </row>
    <row r="719" spans="1:3" ht="15">
      <c r="A719">
        <v>5</v>
      </c>
      <c r="B719" t="str">
        <f>"4323.3"</f>
        <v>4323.3</v>
      </c>
      <c r="C719" t="str">
        <f>"Empregado de controlo dos serviços de transportes aéreos e marítimos"</f>
        <v>Empregado de controlo dos serviços de transportes aéreos e marítimos</v>
      </c>
    </row>
    <row r="720" spans="1:3" ht="15">
      <c r="A720">
        <v>2</v>
      </c>
      <c r="B720" t="str">
        <f>"44"</f>
        <v>44</v>
      </c>
      <c r="C720" t="str">
        <f>"Outro pessoal de apoio de tipo administrativo "</f>
        <v>Outro pessoal de apoio de tipo administrativo </v>
      </c>
    </row>
    <row r="721" spans="1:3" ht="15">
      <c r="A721">
        <v>3</v>
      </c>
      <c r="B721" t="str">
        <f>"441"</f>
        <v>441</v>
      </c>
      <c r="C721" t="str">
        <f>"Outro pessoal de apoio de tipo administrativo "</f>
        <v>Outro pessoal de apoio de tipo administrativo </v>
      </c>
    </row>
    <row r="722" spans="1:3" ht="15">
      <c r="A722">
        <v>4</v>
      </c>
      <c r="B722" t="str">
        <f>"4411"</f>
        <v>4411</v>
      </c>
      <c r="C722" t="str">
        <f>"Empregado de biblioteca "</f>
        <v>Empregado de biblioteca </v>
      </c>
    </row>
    <row r="723" spans="1:3" ht="15">
      <c r="A723">
        <v>5</v>
      </c>
      <c r="B723" t="str">
        <f>"4411.0"</f>
        <v>4411.0</v>
      </c>
      <c r="C723" t="str">
        <f>"Empregado de biblioteca "</f>
        <v>Empregado de biblioteca </v>
      </c>
    </row>
    <row r="724" spans="1:3" ht="15">
      <c r="A724">
        <v>4</v>
      </c>
      <c r="B724" t="str">
        <f>"4412"</f>
        <v>4412</v>
      </c>
      <c r="C724" t="str">
        <f>"Carteiro e similares"</f>
        <v>Carteiro e similares</v>
      </c>
    </row>
    <row r="725" spans="1:3" ht="15">
      <c r="A725">
        <v>5</v>
      </c>
      <c r="B725" t="str">
        <f>"4412.0"</f>
        <v>4412.0</v>
      </c>
      <c r="C725" t="str">
        <f>"Carteiro e similares"</f>
        <v>Carteiro e similares</v>
      </c>
    </row>
    <row r="726" spans="1:3" ht="15">
      <c r="A726">
        <v>4</v>
      </c>
      <c r="B726" t="str">
        <f>"4413"</f>
        <v>4413</v>
      </c>
      <c r="C726" t="str">
        <f>"Codificador, revisor de provas e similares"</f>
        <v>Codificador, revisor de provas e similares</v>
      </c>
    </row>
    <row r="727" spans="1:3" ht="15">
      <c r="A727">
        <v>5</v>
      </c>
      <c r="B727" t="str">
        <f>"4413.0"</f>
        <v>4413.0</v>
      </c>
      <c r="C727" t="str">
        <f>"Codificador, revisor de provas e similares"</f>
        <v>Codificador, revisor de provas e similares</v>
      </c>
    </row>
    <row r="728" spans="1:3" ht="15">
      <c r="A728">
        <v>4</v>
      </c>
      <c r="B728" t="str">
        <f>"4414"</f>
        <v>4414</v>
      </c>
      <c r="C728" t="str">
        <f>"Escrivão e similares"</f>
        <v>Escrivão e similares</v>
      </c>
    </row>
    <row r="729" spans="1:3" ht="15">
      <c r="A729">
        <v>5</v>
      </c>
      <c r="B729" t="str">
        <f>"4414.0"</f>
        <v>4414.0</v>
      </c>
      <c r="C729" t="str">
        <f>"Escrivão e similares"</f>
        <v>Escrivão e similares</v>
      </c>
    </row>
    <row r="730" spans="1:3" ht="15">
      <c r="A730">
        <v>4</v>
      </c>
      <c r="B730" t="str">
        <f>"4415"</f>
        <v>4415</v>
      </c>
      <c r="C730" t="str">
        <f>"Classificador arquivista "</f>
        <v>Classificador arquivista </v>
      </c>
    </row>
    <row r="731" spans="1:3" ht="15">
      <c r="A731">
        <v>5</v>
      </c>
      <c r="B731" t="str">
        <f>"4415.0"</f>
        <v>4415.0</v>
      </c>
      <c r="C731" t="str">
        <f>"Classificador arquivista "</f>
        <v>Classificador arquivista </v>
      </c>
    </row>
    <row r="732" spans="1:3" ht="15">
      <c r="A732">
        <v>4</v>
      </c>
      <c r="B732" t="str">
        <f>"4416"</f>
        <v>4416</v>
      </c>
      <c r="C732" t="str">
        <f>"Empregado de serviço de pessoal"</f>
        <v>Empregado de serviço de pessoal</v>
      </c>
    </row>
    <row r="733" spans="1:3" ht="15">
      <c r="A733">
        <v>5</v>
      </c>
      <c r="B733" t="str">
        <f>"4416.0"</f>
        <v>4416.0</v>
      </c>
      <c r="C733" t="str">
        <f>"Empregado de serviço de pessoal"</f>
        <v>Empregado de serviço de pessoal</v>
      </c>
    </row>
    <row r="734" spans="1:3" ht="15">
      <c r="A734">
        <v>4</v>
      </c>
      <c r="B734" t="str">
        <f>"4419"</f>
        <v>4419</v>
      </c>
      <c r="C734" t="str">
        <f>"Outro pessoal de apoio de tipo administrativo, n.e. "</f>
        <v>Outro pessoal de apoio de tipo administrativo, n.e. </v>
      </c>
    </row>
    <row r="735" spans="1:3" ht="15">
      <c r="A735">
        <v>5</v>
      </c>
      <c r="B735" t="str">
        <f>"4419.0"</f>
        <v>4419.0</v>
      </c>
      <c r="C735" t="str">
        <f>"Outro pessoal de apoio de tipo administrativo, n.e. "</f>
        <v>Outro pessoal de apoio de tipo administrativo, n.e. </v>
      </c>
    </row>
    <row r="736" spans="1:3" ht="15">
      <c r="A736">
        <v>1</v>
      </c>
      <c r="B736" t="str">
        <f>"5"</f>
        <v>5</v>
      </c>
      <c r="C736" t="str">
        <f>"Trabalhadores dos serviços pessoais, de protecção e segurança e vendedores"</f>
        <v>Trabalhadores dos serviços pessoais, de protecção e segurança e vendedores</v>
      </c>
    </row>
    <row r="737" spans="1:3" ht="15">
      <c r="A737">
        <v>2</v>
      </c>
      <c r="B737" t="str">
        <f>"51"</f>
        <v>51</v>
      </c>
      <c r="C737" t="str">
        <f>"Trabalhadores dos serviços pessoais"</f>
        <v>Trabalhadores dos serviços pessoais</v>
      </c>
    </row>
    <row r="738" spans="1:3" ht="15">
      <c r="A738">
        <v>3</v>
      </c>
      <c r="B738" t="str">
        <f>"511"</f>
        <v>511</v>
      </c>
      <c r="C738" t="str">
        <f>"Assistentes de viagem, cobradores e guias intérpretes"</f>
        <v>Assistentes de viagem, cobradores e guias intérpretes</v>
      </c>
    </row>
    <row r="739" spans="1:3" ht="15">
      <c r="A739">
        <v>4</v>
      </c>
      <c r="B739" t="str">
        <f>"5111"</f>
        <v>5111</v>
      </c>
      <c r="C739" t="str">
        <f>"Assistentes de viagem e comissários "</f>
        <v>Assistentes de viagem e comissários </v>
      </c>
    </row>
    <row r="740" spans="1:3" ht="15">
      <c r="A740">
        <v>5</v>
      </c>
      <c r="B740" t="str">
        <f>"5111.0"</f>
        <v>5111.0</v>
      </c>
      <c r="C740" t="str">
        <f>"Assistentes de viagem e comissários "</f>
        <v>Assistentes de viagem e comissários </v>
      </c>
    </row>
    <row r="741" spans="1:3" ht="15">
      <c r="A741">
        <v>4</v>
      </c>
      <c r="B741" t="str">
        <f>"5112"</f>
        <v>5112</v>
      </c>
      <c r="C741" t="str">
        <f>"Fiscal e cobrador de transportes públicos"</f>
        <v>Fiscal e cobrador de transportes públicos</v>
      </c>
    </row>
    <row r="742" spans="1:3" ht="15">
      <c r="A742">
        <v>5</v>
      </c>
      <c r="B742" t="str">
        <f>"5112.0"</f>
        <v>5112.0</v>
      </c>
      <c r="C742" t="str">
        <f>"Fiscal e cobrador de transportes públicos"</f>
        <v>Fiscal e cobrador de transportes públicos</v>
      </c>
    </row>
    <row r="743" spans="1:3" ht="15">
      <c r="A743">
        <v>4</v>
      </c>
      <c r="B743" t="str">
        <f>"5113"</f>
        <v>5113</v>
      </c>
      <c r="C743" t="str">
        <f>"Guia intérprete  "</f>
        <v>Guia intérprete  </v>
      </c>
    </row>
    <row r="744" spans="1:3" ht="15">
      <c r="A744">
        <v>5</v>
      </c>
      <c r="B744" t="str">
        <f>"5113.0"</f>
        <v>5113.0</v>
      </c>
      <c r="C744" t="str">
        <f>"Guia intérprete  "</f>
        <v>Guia intérprete  </v>
      </c>
    </row>
    <row r="745" spans="1:3" ht="15">
      <c r="A745">
        <v>3</v>
      </c>
      <c r="B745" t="str">
        <f>"512"</f>
        <v>512</v>
      </c>
      <c r="C745" t="str">
        <f>"Cozinheiro "</f>
        <v>Cozinheiro </v>
      </c>
    </row>
    <row r="746" spans="1:3" ht="15">
      <c r="A746">
        <v>4</v>
      </c>
      <c r="B746" t="str">
        <f>"5120"</f>
        <v>5120</v>
      </c>
      <c r="C746" t="str">
        <f>"Cozinheiro "</f>
        <v>Cozinheiro </v>
      </c>
    </row>
    <row r="747" spans="1:3" ht="15">
      <c r="A747">
        <v>5</v>
      </c>
      <c r="B747" t="str">
        <f>"5120.0"</f>
        <v>5120.0</v>
      </c>
      <c r="C747" t="str">
        <f>"Cozinheiro "</f>
        <v>Cozinheiro </v>
      </c>
    </row>
    <row r="748" spans="1:3" ht="15">
      <c r="A748">
        <v>3</v>
      </c>
      <c r="B748" t="str">
        <f>"513"</f>
        <v>513</v>
      </c>
      <c r="C748" t="str">
        <f>"Empregados de mesa e bar "</f>
        <v>Empregados de mesa e bar </v>
      </c>
    </row>
    <row r="749" spans="1:3" ht="15">
      <c r="A749">
        <v>4</v>
      </c>
      <c r="B749" t="str">
        <f>"5131"</f>
        <v>5131</v>
      </c>
      <c r="C749" t="str">
        <f>"Empregado de mesa "</f>
        <v>Empregado de mesa </v>
      </c>
    </row>
    <row r="750" spans="1:3" ht="15">
      <c r="A750">
        <v>5</v>
      </c>
      <c r="B750" t="str">
        <f>"5131.0"</f>
        <v>5131.0</v>
      </c>
      <c r="C750" t="str">
        <f>"Empregado de mesa "</f>
        <v>Empregado de mesa </v>
      </c>
    </row>
    <row r="751" spans="1:3" ht="15">
      <c r="A751">
        <v>4</v>
      </c>
      <c r="B751" t="str">
        <f>"5132"</f>
        <v>5132</v>
      </c>
      <c r="C751" t="str">
        <f>"Empregado de bar"</f>
        <v>Empregado de bar</v>
      </c>
    </row>
    <row r="752" spans="1:3" ht="15">
      <c r="A752">
        <v>5</v>
      </c>
      <c r="B752" t="str">
        <f>"5132.0"</f>
        <v>5132.0</v>
      </c>
      <c r="C752" t="str">
        <f>"Empregado de bar"</f>
        <v>Empregado de bar</v>
      </c>
    </row>
    <row r="753" spans="1:3" ht="15">
      <c r="A753">
        <v>3</v>
      </c>
      <c r="B753" t="str">
        <f>"514"</f>
        <v>514</v>
      </c>
      <c r="C753" t="str">
        <f>"Cabeleireiros, esteticistas e similares"</f>
        <v>Cabeleireiros, esteticistas e similares</v>
      </c>
    </row>
    <row r="754" spans="1:3" ht="15">
      <c r="A754">
        <v>4</v>
      </c>
      <c r="B754" t="str">
        <f>"5141"</f>
        <v>5141</v>
      </c>
      <c r="C754" t="str">
        <f>"Cabeleireiro e barbeiro"</f>
        <v>Cabeleireiro e barbeiro</v>
      </c>
    </row>
    <row r="755" spans="1:3" ht="15">
      <c r="A755">
        <v>5</v>
      </c>
      <c r="B755" t="str">
        <f>"5141.0"</f>
        <v>5141.0</v>
      </c>
      <c r="C755" t="str">
        <f>"Cabeleireiro e barbeiro"</f>
        <v>Cabeleireiro e barbeiro</v>
      </c>
    </row>
    <row r="756" spans="1:3" ht="15">
      <c r="A756">
        <v>4</v>
      </c>
      <c r="B756" t="str">
        <f>"5142"</f>
        <v>5142</v>
      </c>
      <c r="C756" t="str">
        <f>"Esteticistas e trabalhadores similares "</f>
        <v>Esteticistas e trabalhadores similares </v>
      </c>
    </row>
    <row r="757" spans="1:3" ht="15">
      <c r="A757">
        <v>5</v>
      </c>
      <c r="B757" t="str">
        <f>"5142.1"</f>
        <v>5142.1</v>
      </c>
      <c r="C757" t="str">
        <f>"Esteticista "</f>
        <v>Esteticista </v>
      </c>
    </row>
    <row r="758" spans="1:3" ht="15">
      <c r="A758">
        <v>5</v>
      </c>
      <c r="B758" t="str">
        <f>"5142.2"</f>
        <v>5142.2</v>
      </c>
      <c r="C758" t="str">
        <f>"Massagista de estética"</f>
        <v>Massagista de estética</v>
      </c>
    </row>
    <row r="759" spans="1:3" ht="15">
      <c r="A759">
        <v>5</v>
      </c>
      <c r="B759" t="str">
        <f>"5142.3"</f>
        <v>5142.3</v>
      </c>
      <c r="C759" t="str">
        <f>"Manicura, pedicura e calista"</f>
        <v>Manicura, pedicura e calista</v>
      </c>
    </row>
    <row r="760" spans="1:3" ht="15">
      <c r="A760">
        <v>5</v>
      </c>
      <c r="B760" t="str">
        <f>"5142.4"</f>
        <v>5142.4</v>
      </c>
      <c r="C760" t="str">
        <f>"Outros trabalhadores similares aos esteticistas"</f>
        <v>Outros trabalhadores similares aos esteticistas</v>
      </c>
    </row>
    <row r="761" spans="1:3" ht="15">
      <c r="A761">
        <v>3</v>
      </c>
      <c r="B761" t="str">
        <f>"515"</f>
        <v>515</v>
      </c>
      <c r="C761" t="str">
        <f>"Governante doméstico e encarregados de limpeza e de trabalhos domésticos "</f>
        <v>Governante doméstico e encarregados de limpeza e de trabalhos domésticos </v>
      </c>
    </row>
    <row r="762" spans="1:3" ht="15">
      <c r="A762">
        <v>4</v>
      </c>
      <c r="B762" t="str">
        <f>"5151"</f>
        <v>5151</v>
      </c>
      <c r="C762" t="str">
        <f>"Encarregado de limpeza e de trabalhos domésticos em escritórios, hotéis e outros estabelecimentos"</f>
        <v>Encarregado de limpeza e de trabalhos domésticos em escritórios, hotéis e outros estabelecimentos</v>
      </c>
    </row>
    <row r="763" spans="1:3" ht="15">
      <c r="A763">
        <v>5</v>
      </c>
      <c r="B763" t="str">
        <f>"5151.0"</f>
        <v>5151.0</v>
      </c>
      <c r="C763" t="str">
        <f>"Encarregado de limpeza e de trabalhos domésticos em escritórios, hotéis e outros estabelecimentos"</f>
        <v>Encarregado de limpeza e de trabalhos domésticos em escritórios, hotéis e outros estabelecimentos</v>
      </c>
    </row>
    <row r="764" spans="1:3" ht="15">
      <c r="A764">
        <v>4</v>
      </c>
      <c r="B764" t="str">
        <f>"5152"</f>
        <v>5152</v>
      </c>
      <c r="C764" t="str">
        <f>"Governante doméstico"</f>
        <v>Governante doméstico</v>
      </c>
    </row>
    <row r="765" spans="1:3" ht="15">
      <c r="A765">
        <v>5</v>
      </c>
      <c r="B765" t="str">
        <f>"5152.0"</f>
        <v>5152.0</v>
      </c>
      <c r="C765" t="str">
        <f>"Governante doméstico"</f>
        <v>Governante doméstico</v>
      </c>
    </row>
    <row r="766" spans="1:3" ht="15">
      <c r="A766">
        <v>4</v>
      </c>
      <c r="B766" t="str">
        <f>"5153"</f>
        <v>5153</v>
      </c>
      <c r="C766" t="str">
        <f>"Porteiro de edifícios"</f>
        <v>Porteiro de edifícios</v>
      </c>
    </row>
    <row r="767" spans="1:3" ht="15">
      <c r="A767">
        <v>5</v>
      </c>
      <c r="B767" t="str">
        <f>"5153.0"</f>
        <v>5153.0</v>
      </c>
      <c r="C767" t="str">
        <f>"Porteiro de edifícios"</f>
        <v>Porteiro de edifícios</v>
      </c>
    </row>
    <row r="768" spans="1:3" ht="15">
      <c r="A768">
        <v>3</v>
      </c>
      <c r="B768" t="str">
        <f>"516"</f>
        <v>516</v>
      </c>
      <c r="C768" t="str">
        <f>"Outros trabalhadores dos serviços pessoais"</f>
        <v>Outros trabalhadores dos serviços pessoais</v>
      </c>
    </row>
    <row r="769" spans="1:3" ht="15">
      <c r="A769">
        <v>4</v>
      </c>
      <c r="B769" t="str">
        <f>"5161"</f>
        <v>5161</v>
      </c>
      <c r="C769" t="str">
        <f>"Astrólogos, adivinhadores e similares"</f>
        <v>Astrólogos, adivinhadores e similares</v>
      </c>
    </row>
    <row r="770" spans="1:3" ht="15">
      <c r="A770">
        <v>5</v>
      </c>
      <c r="B770" t="str">
        <f>"5161.1"</f>
        <v>5161.1</v>
      </c>
      <c r="C770" t="str">
        <f>"Astrólogo"</f>
        <v>Astrólogo</v>
      </c>
    </row>
    <row r="771" spans="1:3" ht="15">
      <c r="A771">
        <v>5</v>
      </c>
      <c r="B771" t="str">
        <f>"5161.2"</f>
        <v>5161.2</v>
      </c>
      <c r="C771" t="str">
        <f>"Adivinhador e similares"</f>
        <v>Adivinhador e similares</v>
      </c>
    </row>
    <row r="772" spans="1:3" ht="15">
      <c r="A772">
        <v>4</v>
      </c>
      <c r="B772" t="str">
        <f>"5162"</f>
        <v>5162</v>
      </c>
      <c r="C772" t="str">
        <f>"Pessoal de companhia e ajudantes de quarto"</f>
        <v>Pessoal de companhia e ajudantes de quarto</v>
      </c>
    </row>
    <row r="773" spans="1:3" ht="15">
      <c r="A773">
        <v>5</v>
      </c>
      <c r="B773" t="str">
        <f>"5162.0"</f>
        <v>5162.0</v>
      </c>
      <c r="C773" t="str">
        <f>"Pessoal de companhia e ajudantes de quarto"</f>
        <v>Pessoal de companhia e ajudantes de quarto</v>
      </c>
    </row>
    <row r="774" spans="1:3" ht="15">
      <c r="A774">
        <v>4</v>
      </c>
      <c r="B774" t="str">
        <f>"5163"</f>
        <v>5163</v>
      </c>
      <c r="C774" t="str">
        <f>"Agentes funerários e embalsamadores"</f>
        <v>Agentes funerários e embalsamadores</v>
      </c>
    </row>
    <row r="775" spans="1:3" ht="15">
      <c r="A775">
        <v>5</v>
      </c>
      <c r="B775" t="str">
        <f>"5163.1"</f>
        <v>5163.1</v>
      </c>
      <c r="C775" t="str">
        <f>"Agente funerário"</f>
        <v>Agente funerário</v>
      </c>
    </row>
    <row r="776" spans="1:3" ht="15">
      <c r="A776">
        <v>5</v>
      </c>
      <c r="B776" t="str">
        <f>"5163.2"</f>
        <v>5163.2</v>
      </c>
      <c r="C776" t="str">
        <f>"Embalsamador"</f>
        <v>Embalsamador</v>
      </c>
    </row>
    <row r="777" spans="1:3" ht="15">
      <c r="A777">
        <v>4</v>
      </c>
      <c r="B777" t="str">
        <f>"5164"</f>
        <v>5164</v>
      </c>
      <c r="C777" t="str">
        <f>"Prestador de cuidados a animais "</f>
        <v>Prestador de cuidados a animais </v>
      </c>
    </row>
    <row r="778" spans="1:3" ht="15">
      <c r="A778">
        <v>5</v>
      </c>
      <c r="B778" t="str">
        <f>"5164.0"</f>
        <v>5164.0</v>
      </c>
      <c r="C778" t="str">
        <f>"Prestador de cuidados a animais "</f>
        <v>Prestador de cuidados a animais </v>
      </c>
    </row>
    <row r="779" spans="1:3" ht="15">
      <c r="A779">
        <v>4</v>
      </c>
      <c r="B779" t="str">
        <f>"5165"</f>
        <v>5165</v>
      </c>
      <c r="C779" t="str">
        <f>"Instrutor de condução"</f>
        <v>Instrutor de condução</v>
      </c>
    </row>
    <row r="780" spans="1:3" ht="15">
      <c r="A780">
        <v>5</v>
      </c>
      <c r="B780" t="str">
        <f>"5165.0"</f>
        <v>5165.0</v>
      </c>
      <c r="C780" t="str">
        <f>"Instrutor de condução"</f>
        <v>Instrutor de condução</v>
      </c>
    </row>
    <row r="781" spans="1:3" ht="15">
      <c r="A781">
        <v>4</v>
      </c>
      <c r="B781" t="str">
        <f>"5169"</f>
        <v>5169</v>
      </c>
      <c r="C781" t="str">
        <f>"Outros trabalhadores dos serviços pessoais, n.e."</f>
        <v>Outros trabalhadores dos serviços pessoais, n.e.</v>
      </c>
    </row>
    <row r="782" spans="1:3" ht="15">
      <c r="A782">
        <v>5</v>
      </c>
      <c r="B782" t="str">
        <f>"5169.0"</f>
        <v>5169.0</v>
      </c>
      <c r="C782" t="str">
        <f>"Outros trabalhadores dos serviços pessoais, n.e."</f>
        <v>Outros trabalhadores dos serviços pessoais, n.e.</v>
      </c>
    </row>
    <row r="783" spans="1:3" ht="15">
      <c r="A783">
        <v>2</v>
      </c>
      <c r="B783" t="str">
        <f>"52"</f>
        <v>52</v>
      </c>
      <c r="C783" t="str">
        <f>"Vendedores"</f>
        <v>Vendedores</v>
      </c>
    </row>
    <row r="784" spans="1:3" ht="15">
      <c r="A784">
        <v>3</v>
      </c>
      <c r="B784" t="str">
        <f>"521"</f>
        <v>521</v>
      </c>
      <c r="C784" t="str">
        <f>"Vendedores ambulantes e em mercados "</f>
        <v>Vendedores ambulantes e em mercados </v>
      </c>
    </row>
    <row r="785" spans="1:3" ht="15">
      <c r="A785">
        <v>4</v>
      </c>
      <c r="B785" t="str">
        <f>"5211"</f>
        <v>5211</v>
      </c>
      <c r="C785" t="str">
        <f>"Vendedor em quiosque e em mercados  "</f>
        <v>Vendedor em quiosque e em mercados  </v>
      </c>
    </row>
    <row r="786" spans="1:3" ht="15">
      <c r="A786">
        <v>5</v>
      </c>
      <c r="B786" t="str">
        <f>"5211.0"</f>
        <v>5211.0</v>
      </c>
      <c r="C786" t="str">
        <f>"Vendedor em quiosque e em mercados  "</f>
        <v>Vendedor em quiosque e em mercados  </v>
      </c>
    </row>
    <row r="787" spans="1:3" ht="15">
      <c r="A787">
        <v>4</v>
      </c>
      <c r="B787" t="str">
        <f>"5212"</f>
        <v>5212</v>
      </c>
      <c r="C787" t="str">
        <f>"Vendedor ambulante de produtos alimentares"</f>
        <v>Vendedor ambulante de produtos alimentares</v>
      </c>
    </row>
    <row r="788" spans="1:3" ht="15">
      <c r="A788">
        <v>5</v>
      </c>
      <c r="B788" t="str">
        <f>"5212.0"</f>
        <v>5212.0</v>
      </c>
      <c r="C788" t="str">
        <f>"Vendedor ambulante de produtos alimentares"</f>
        <v>Vendedor ambulante de produtos alimentares</v>
      </c>
    </row>
    <row r="789" spans="1:3" ht="15">
      <c r="A789">
        <v>3</v>
      </c>
      <c r="B789" t="str">
        <f>"522"</f>
        <v>522</v>
      </c>
      <c r="C789" t="str">
        <f>"Vendedores em lojas "</f>
        <v>Vendedores em lojas </v>
      </c>
    </row>
    <row r="790" spans="1:3" ht="15">
      <c r="A790">
        <v>4</v>
      </c>
      <c r="B790" t="str">
        <f>"5221"</f>
        <v>5221</v>
      </c>
      <c r="C790" t="str">
        <f>"Comerciante de loja (estabelecimento)"</f>
        <v>Comerciante de loja (estabelecimento)</v>
      </c>
    </row>
    <row r="791" spans="1:3" ht="15">
      <c r="A791">
        <v>5</v>
      </c>
      <c r="B791" t="str">
        <f>"5221.0"</f>
        <v>5221.0</v>
      </c>
      <c r="C791" t="str">
        <f>"Comerciante de loja (estabelecimento)"</f>
        <v>Comerciante de loja (estabelecimento)</v>
      </c>
    </row>
    <row r="792" spans="1:3" ht="15">
      <c r="A792">
        <v>4</v>
      </c>
      <c r="B792" t="str">
        <f>"5222"</f>
        <v>5222</v>
      </c>
      <c r="C792" t="str">
        <f>"Encarregado de loja (estabelecimento)"</f>
        <v>Encarregado de loja (estabelecimento)</v>
      </c>
    </row>
    <row r="793" spans="1:3" ht="15">
      <c r="A793">
        <v>5</v>
      </c>
      <c r="B793" t="str">
        <f>"5222.0"</f>
        <v>5222.0</v>
      </c>
      <c r="C793" t="str">
        <f>"Encarregado de loja (estabelecimento)"</f>
        <v>Encarregado de loja (estabelecimento)</v>
      </c>
    </row>
    <row r="794" spans="1:3" ht="15">
      <c r="A794">
        <v>4</v>
      </c>
      <c r="B794" t="str">
        <f>"5223"</f>
        <v>5223</v>
      </c>
      <c r="C794" t="str">
        <f>"Vendedor em loja (estabelecimento)"</f>
        <v>Vendedor em loja (estabelecimento)</v>
      </c>
    </row>
    <row r="795" spans="1:3" ht="15">
      <c r="A795">
        <v>5</v>
      </c>
      <c r="B795" t="str">
        <f>"5223.0"</f>
        <v>5223.0</v>
      </c>
      <c r="C795" t="str">
        <f>"Vendedor em loja (estabelecimento)"</f>
        <v>Vendedor em loja (estabelecimento)</v>
      </c>
    </row>
    <row r="796" spans="1:3" ht="15">
      <c r="A796">
        <v>3</v>
      </c>
      <c r="B796" t="str">
        <f>"523"</f>
        <v>523</v>
      </c>
      <c r="C796" t="str">
        <f>"Operadores de caixa e venda de bilhetes"</f>
        <v>Operadores de caixa e venda de bilhetes</v>
      </c>
    </row>
    <row r="797" spans="1:3" ht="15">
      <c r="A797">
        <v>4</v>
      </c>
      <c r="B797" t="str">
        <f>"5230"</f>
        <v>5230</v>
      </c>
      <c r="C797" t="str">
        <f>"Operadores de caixa e venda de bilhetes"</f>
        <v>Operadores de caixa e venda de bilhetes</v>
      </c>
    </row>
    <row r="798" spans="1:3" ht="15">
      <c r="A798">
        <v>5</v>
      </c>
      <c r="B798" t="str">
        <f>"5230.1"</f>
        <v>5230.1</v>
      </c>
      <c r="C798" t="str">
        <f>"Operador de caixa"</f>
        <v>Operador de caixa</v>
      </c>
    </row>
    <row r="799" spans="1:3" ht="15">
      <c r="A799">
        <v>5</v>
      </c>
      <c r="B799" t="str">
        <f>"5230.2"</f>
        <v>5230.2</v>
      </c>
      <c r="C799" t="str">
        <f>"Bilheteiro "</f>
        <v>Bilheteiro </v>
      </c>
    </row>
    <row r="800" spans="1:3" ht="15">
      <c r="A800">
        <v>3</v>
      </c>
      <c r="B800" t="str">
        <f>"524"</f>
        <v>524</v>
      </c>
      <c r="C800" t="str">
        <f>"Outros trabalhadores relacionados com vendas"</f>
        <v>Outros trabalhadores relacionados com vendas</v>
      </c>
    </row>
    <row r="801" spans="1:3" ht="15">
      <c r="A801">
        <v>4</v>
      </c>
      <c r="B801" t="str">
        <f>"5241"</f>
        <v>5241</v>
      </c>
      <c r="C801" t="str">
        <f>"Manequim e outros modelos "</f>
        <v>Manequim e outros modelos </v>
      </c>
    </row>
    <row r="802" spans="1:3" ht="15">
      <c r="A802">
        <v>5</v>
      </c>
      <c r="B802" t="str">
        <f>"5241.0"</f>
        <v>5241.0</v>
      </c>
      <c r="C802" t="str">
        <f>"Manequim e outros modelos "</f>
        <v>Manequim e outros modelos </v>
      </c>
    </row>
    <row r="803" spans="1:3" ht="15">
      <c r="A803">
        <v>4</v>
      </c>
      <c r="B803" t="str">
        <f>"5242"</f>
        <v>5242</v>
      </c>
      <c r="C803" t="str">
        <f>"Demonstrador"</f>
        <v>Demonstrador</v>
      </c>
    </row>
    <row r="804" spans="1:3" ht="15">
      <c r="A804">
        <v>5</v>
      </c>
      <c r="B804" t="str">
        <f>"5242.0"</f>
        <v>5242.0</v>
      </c>
      <c r="C804" t="str">
        <f>"Demonstrador"</f>
        <v>Demonstrador</v>
      </c>
    </row>
    <row r="805" spans="1:3" ht="15">
      <c r="A805">
        <v>4</v>
      </c>
      <c r="B805" t="str">
        <f>"5243"</f>
        <v>5243</v>
      </c>
      <c r="C805" t="str">
        <f>"Vendedor ao domicílio "</f>
        <v>Vendedor ao domicílio </v>
      </c>
    </row>
    <row r="806" spans="1:3" ht="15">
      <c r="A806">
        <v>5</v>
      </c>
      <c r="B806" t="str">
        <f>"5243.0"</f>
        <v>5243.0</v>
      </c>
      <c r="C806" t="str">
        <f>"Vendedor ao domicílio "</f>
        <v>Vendedor ao domicílio </v>
      </c>
    </row>
    <row r="807" spans="1:3" ht="15">
      <c r="A807">
        <v>4</v>
      </c>
      <c r="B807" t="str">
        <f>"5244"</f>
        <v>5244</v>
      </c>
      <c r="C807" t="str">
        <f>"Vendedor de centros de contacto"</f>
        <v>Vendedor de centros de contacto</v>
      </c>
    </row>
    <row r="808" spans="1:3" ht="15">
      <c r="A808">
        <v>5</v>
      </c>
      <c r="B808" t="str">
        <f>"5244.0"</f>
        <v>5244.0</v>
      </c>
      <c r="C808" t="str">
        <f>"Vendedor de centros de contacto"</f>
        <v>Vendedor de centros de contacto</v>
      </c>
    </row>
    <row r="809" spans="1:3" ht="15">
      <c r="A809">
        <v>4</v>
      </c>
      <c r="B809" t="str">
        <f>"5245"</f>
        <v>5245</v>
      </c>
      <c r="C809" t="str">
        <f>"Assistente de estação de serviço ao condutor "</f>
        <v>Assistente de estação de serviço ao condutor </v>
      </c>
    </row>
    <row r="810" spans="1:3" ht="15">
      <c r="A810">
        <v>5</v>
      </c>
      <c r="B810" t="str">
        <f>"5245.0"</f>
        <v>5245.0</v>
      </c>
      <c r="C810" t="str">
        <f>"Assistente de estação de serviço ao condutor "</f>
        <v>Assistente de estação de serviço ao condutor </v>
      </c>
    </row>
    <row r="811" spans="1:3" ht="15">
      <c r="A811">
        <v>4</v>
      </c>
      <c r="B811" t="str">
        <f>"5246"</f>
        <v>5246</v>
      </c>
      <c r="C811" t="str">
        <f>"Assistente de venda de alimentos ao balcão"</f>
        <v>Assistente de venda de alimentos ao balcão</v>
      </c>
    </row>
    <row r="812" spans="1:3" ht="15">
      <c r="A812">
        <v>5</v>
      </c>
      <c r="B812" t="str">
        <f>"5246.0"</f>
        <v>5246.0</v>
      </c>
      <c r="C812" t="str">
        <f>"Assistente de venda de alimentos ao balcão"</f>
        <v>Assistente de venda de alimentos ao balcão</v>
      </c>
    </row>
    <row r="813" spans="1:3" ht="15">
      <c r="A813">
        <v>4</v>
      </c>
      <c r="B813" t="str">
        <f>"5249"</f>
        <v>5249</v>
      </c>
      <c r="C813" t="str">
        <f>"Outros trabalhadores relacionados com vendas, n.e. "</f>
        <v>Outros trabalhadores relacionados com vendas, n.e. </v>
      </c>
    </row>
    <row r="814" spans="1:3" ht="15">
      <c r="A814">
        <v>5</v>
      </c>
      <c r="B814" t="str">
        <f>"5249.0"</f>
        <v>5249.0</v>
      </c>
      <c r="C814" t="str">
        <f>"Outros trabalhadores relacionados com vendas, n.e. "</f>
        <v>Outros trabalhadores relacionados com vendas, n.e. </v>
      </c>
    </row>
    <row r="815" spans="1:3" ht="15">
      <c r="A815">
        <v>2</v>
      </c>
      <c r="B815" t="str">
        <f>"53"</f>
        <v>53</v>
      </c>
      <c r="C815" t="str">
        <f>"Trabalhadores dos cuidados pessoais e similares"</f>
        <v>Trabalhadores dos cuidados pessoais e similares</v>
      </c>
    </row>
    <row r="816" spans="1:3" ht="15">
      <c r="A816">
        <v>3</v>
      </c>
      <c r="B816" t="str">
        <f>"531"</f>
        <v>531</v>
      </c>
      <c r="C816" t="str">
        <f>"Auxiliares de educadores de infância e de professores"</f>
        <v>Auxiliares de educadores de infância e de professores</v>
      </c>
    </row>
    <row r="817" spans="1:3" ht="15">
      <c r="A817">
        <v>4</v>
      </c>
      <c r="B817" t="str">
        <f>"5311"</f>
        <v>5311</v>
      </c>
      <c r="C817" t="str">
        <f>"Auxiliar de cuidados de crianças"</f>
        <v>Auxiliar de cuidados de crianças</v>
      </c>
    </row>
    <row r="818" spans="1:3" ht="15">
      <c r="A818">
        <v>5</v>
      </c>
      <c r="B818" t="str">
        <f>"5311.0"</f>
        <v>5311.0</v>
      </c>
      <c r="C818" t="str">
        <f>"Auxiliar de cuidados de crianças"</f>
        <v>Auxiliar de cuidados de crianças</v>
      </c>
    </row>
    <row r="819" spans="1:3" ht="15">
      <c r="A819">
        <v>4</v>
      </c>
      <c r="B819" t="str">
        <f>"5312"</f>
        <v>5312</v>
      </c>
      <c r="C819" t="str">
        <f>"Auxiliar de professor"</f>
        <v>Auxiliar de professor</v>
      </c>
    </row>
    <row r="820" spans="1:3" ht="15">
      <c r="A820">
        <v>5</v>
      </c>
      <c r="B820" t="str">
        <f>"5312.0"</f>
        <v>5312.0</v>
      </c>
      <c r="C820" t="str">
        <f>"Auxiliar de professor"</f>
        <v>Auxiliar de professor</v>
      </c>
    </row>
    <row r="821" spans="1:3" ht="15">
      <c r="A821">
        <v>3</v>
      </c>
      <c r="B821" t="str">
        <f>"532"</f>
        <v>532</v>
      </c>
      <c r="C821" t="str">
        <f>"Trabalhadores de cuidados pessoais nos serviços de saúde"</f>
        <v>Trabalhadores de cuidados pessoais nos serviços de saúde</v>
      </c>
    </row>
    <row r="822" spans="1:3" ht="15">
      <c r="A822">
        <v>4</v>
      </c>
      <c r="B822" t="str">
        <f>"5321"</f>
        <v>5321</v>
      </c>
      <c r="C822" t="str">
        <f>"Auxiliar de saúde"</f>
        <v>Auxiliar de saúde</v>
      </c>
    </row>
    <row r="823" spans="1:3" ht="15">
      <c r="A823">
        <v>5</v>
      </c>
      <c r="B823" t="str">
        <f>"5321.0"</f>
        <v>5321.0</v>
      </c>
      <c r="C823" t="str">
        <f>"Auxiliar de saúde"</f>
        <v>Auxiliar de saúde</v>
      </c>
    </row>
    <row r="824" spans="1:3" ht="15">
      <c r="A824">
        <v>4</v>
      </c>
      <c r="B824" t="str">
        <f>"5322"</f>
        <v>5322</v>
      </c>
      <c r="C824" t="str">
        <f>"Ajudante familiar"</f>
        <v>Ajudante familiar</v>
      </c>
    </row>
    <row r="825" spans="1:3" ht="15">
      <c r="A825">
        <v>5</v>
      </c>
      <c r="B825" t="str">
        <f>"5322.0"</f>
        <v>5322.0</v>
      </c>
      <c r="C825" t="str">
        <f>"Ajudante familiar"</f>
        <v>Ajudante familiar</v>
      </c>
    </row>
    <row r="826" spans="1:3" ht="15">
      <c r="A826">
        <v>4</v>
      </c>
      <c r="B826" t="str">
        <f>"5329"</f>
        <v>5329</v>
      </c>
      <c r="C826" t="str">
        <f>"Outros trabalhadores dos cuidados pessoais e similares nos serviços de saúde"</f>
        <v>Outros trabalhadores dos cuidados pessoais e similares nos serviços de saúde</v>
      </c>
    </row>
    <row r="827" spans="1:3" ht="15">
      <c r="A827">
        <v>5</v>
      </c>
      <c r="B827" t="str">
        <f>"5329.0"</f>
        <v>5329.0</v>
      </c>
      <c r="C827" t="str">
        <f>"Outros trabalhadores dos cuidados pessoais e similares nos serviços de saúde"</f>
        <v>Outros trabalhadores dos cuidados pessoais e similares nos serviços de saúde</v>
      </c>
    </row>
    <row r="828" spans="1:3" ht="15">
      <c r="A828">
        <v>2</v>
      </c>
      <c r="B828" t="str">
        <f>"54"</f>
        <v>54</v>
      </c>
      <c r="C828" t="str">
        <f>"Pessoal dos serviços de protecção e segurança "</f>
        <v>Pessoal dos serviços de protecção e segurança </v>
      </c>
    </row>
    <row r="829" spans="1:3" ht="15">
      <c r="A829">
        <v>3</v>
      </c>
      <c r="B829" t="str">
        <f>"541"</f>
        <v>541</v>
      </c>
      <c r="C829" t="str">
        <f>"Pessoal dos serviços de protecção e segurança "</f>
        <v>Pessoal dos serviços de protecção e segurança </v>
      </c>
    </row>
    <row r="830" spans="1:3" ht="15">
      <c r="A830">
        <v>4</v>
      </c>
      <c r="B830" t="str">
        <f>"5411"</f>
        <v>5411</v>
      </c>
      <c r="C830" t="str">
        <f>"Bombeiro"</f>
        <v>Bombeiro</v>
      </c>
    </row>
    <row r="831" spans="1:3" ht="15">
      <c r="A831">
        <v>5</v>
      </c>
      <c r="B831" t="str">
        <f>"5411.0"</f>
        <v>5411.0</v>
      </c>
      <c r="C831" t="str">
        <f>"Bombeiro"</f>
        <v>Bombeiro</v>
      </c>
    </row>
    <row r="832" spans="1:3" ht="15">
      <c r="A832">
        <v>4</v>
      </c>
      <c r="B832" t="str">
        <f>"5412"</f>
        <v>5412</v>
      </c>
      <c r="C832" t="str">
        <f>"Agentes da PSP,  Polícia Marítima, Polícia Municipal, sargentos e guardas da GNR"</f>
        <v>Agentes da PSP,  Polícia Marítima, Polícia Municipal, sargentos e guardas da GNR</v>
      </c>
    </row>
    <row r="833" spans="1:3" ht="15">
      <c r="A833">
        <v>5</v>
      </c>
      <c r="B833" t="str">
        <f>"5412.1"</f>
        <v>5412.1</v>
      </c>
      <c r="C833" t="str">
        <f>"Sargentos da Guarda Nacional Republicana"</f>
        <v>Sargentos da Guarda Nacional Republicana</v>
      </c>
    </row>
    <row r="834" spans="1:3" ht="15">
      <c r="A834">
        <v>5</v>
      </c>
      <c r="B834" t="str">
        <f>"5412.2"</f>
        <v>5412.2</v>
      </c>
      <c r="C834" t="str">
        <f>"Guardas da Guarda Nacional Republicana"</f>
        <v>Guardas da Guarda Nacional Republicana</v>
      </c>
    </row>
    <row r="835" spans="1:3" ht="15">
      <c r="A835">
        <v>5</v>
      </c>
      <c r="B835" t="str">
        <f>"5412.3"</f>
        <v>5412.3</v>
      </c>
      <c r="C835" t="str">
        <f>"Agente de Polícia de Segurança Pública"</f>
        <v>Agente de Polícia de Segurança Pública</v>
      </c>
    </row>
    <row r="836" spans="1:3" ht="15">
      <c r="A836">
        <v>5</v>
      </c>
      <c r="B836" t="str">
        <f>"5412.4"</f>
        <v>5412.4</v>
      </c>
      <c r="C836" t="str">
        <f>"Agente de Polícia Marítima "</f>
        <v>Agente de Polícia Marítima </v>
      </c>
    </row>
    <row r="837" spans="1:3" ht="15">
      <c r="A837">
        <v>5</v>
      </c>
      <c r="B837" t="str">
        <f>"5412.5"</f>
        <v>5412.5</v>
      </c>
      <c r="C837" t="str">
        <f>"Agente de Polícia Municipal"</f>
        <v>Agente de Polícia Municipal</v>
      </c>
    </row>
    <row r="838" spans="1:3" ht="15">
      <c r="A838">
        <v>5</v>
      </c>
      <c r="B838" t="str">
        <f>"5412.6"</f>
        <v>5412.6</v>
      </c>
      <c r="C838" t="str">
        <f>"Outros agentes de polícia"</f>
        <v>Outros agentes de polícia</v>
      </c>
    </row>
    <row r="839" spans="1:3" ht="15">
      <c r="A839">
        <v>4</v>
      </c>
      <c r="B839" t="str">
        <f>"5413"</f>
        <v>5413</v>
      </c>
      <c r="C839" t="str">
        <f>"Guarda dos serviços prisionais "</f>
        <v>Guarda dos serviços prisionais </v>
      </c>
    </row>
    <row r="840" spans="1:3" ht="15">
      <c r="A840">
        <v>5</v>
      </c>
      <c r="B840" t="str">
        <f>"5413.0"</f>
        <v>5413.0</v>
      </c>
      <c r="C840" t="str">
        <f>"Guarda dos serviços prisionais "</f>
        <v>Guarda dos serviços prisionais </v>
      </c>
    </row>
    <row r="841" spans="1:3" ht="15">
      <c r="A841">
        <v>4</v>
      </c>
      <c r="B841" t="str">
        <f>"5414"</f>
        <v>5414</v>
      </c>
      <c r="C841" t="str">
        <f>"Segurança (vigilante privado), porteiros e similares"</f>
        <v>Segurança (vigilante privado), porteiros e similares</v>
      </c>
    </row>
    <row r="842" spans="1:3" ht="15">
      <c r="A842">
        <v>5</v>
      </c>
      <c r="B842" t="str">
        <f>"5414.1"</f>
        <v>5414.1</v>
      </c>
      <c r="C842" t="str">
        <f>"Porteiro de hotelaria"</f>
        <v>Porteiro de hotelaria</v>
      </c>
    </row>
    <row r="843" spans="1:3" ht="15">
      <c r="A843">
        <v>5</v>
      </c>
      <c r="B843" t="str">
        <f>"5414.2"</f>
        <v>5414.2</v>
      </c>
      <c r="C843" t="str">
        <f>"Segurança (vigilante privado), outros porteiros e similares"</f>
        <v>Segurança (vigilante privado), outros porteiros e similares</v>
      </c>
    </row>
    <row r="844" spans="1:3" ht="15">
      <c r="A844">
        <v>4</v>
      </c>
      <c r="B844" t="str">
        <f>"5419"</f>
        <v>5419</v>
      </c>
      <c r="C844" t="str">
        <f>"Outro pessoal dos serviços de protecção e segurança "</f>
        <v>Outro pessoal dos serviços de protecção e segurança </v>
      </c>
    </row>
    <row r="845" spans="1:3" ht="15">
      <c r="A845">
        <v>5</v>
      </c>
      <c r="B845" t="str">
        <f>"5419.0"</f>
        <v>5419.0</v>
      </c>
      <c r="C845" t="str">
        <f>"Outro pessoal dos serviços de protecção e segurança "</f>
        <v>Outro pessoal dos serviços de protecção e segurança </v>
      </c>
    </row>
    <row r="846" spans="1:3" ht="15">
      <c r="A846">
        <v>1</v>
      </c>
      <c r="B846" t="str">
        <f>"6"</f>
        <v>6</v>
      </c>
      <c r="C846" t="str">
        <f>"Agricultores e trabalhadores qualificados da agricultura, da pesca e da floresta"</f>
        <v>Agricultores e trabalhadores qualificados da agricultura, da pesca e da floresta</v>
      </c>
    </row>
    <row r="847" spans="1:3" ht="15">
      <c r="A847">
        <v>2</v>
      </c>
      <c r="B847" t="str">
        <f>"61"</f>
        <v>61</v>
      </c>
      <c r="C847" t="str">
        <f>"Agricultores e trabalhadores qualificados da agricultura e produção animal, orientados para o mercado"</f>
        <v>Agricultores e trabalhadores qualificados da agricultura e produção animal, orientados para o mercado</v>
      </c>
    </row>
    <row r="848" spans="1:3" ht="15">
      <c r="A848">
        <v>3</v>
      </c>
      <c r="B848" t="str">
        <f>"611"</f>
        <v>611</v>
      </c>
      <c r="C848" t="str">
        <f>"Agricultores e trabalhadores qualificados de culturas agrícolas de mercado"</f>
        <v>Agricultores e trabalhadores qualificados de culturas agrícolas de mercado</v>
      </c>
    </row>
    <row r="849" spans="1:3" ht="15">
      <c r="A849">
        <v>4</v>
      </c>
      <c r="B849" t="str">
        <f>"6111"</f>
        <v>6111</v>
      </c>
      <c r="C849" t="str">
        <f>"Agricultor e trabalhador qualificado de cereais e outras culturas extensivas"</f>
        <v>Agricultor e trabalhador qualificado de cereais e outras culturas extensivas</v>
      </c>
    </row>
    <row r="850" spans="1:3" ht="15">
      <c r="A850">
        <v>5</v>
      </c>
      <c r="B850" t="str">
        <f>"6111.0"</f>
        <v>6111.0</v>
      </c>
      <c r="C850" t="str">
        <f>"Agricultor e trabalhador qualificado de cereais e outras culturas extensivas"</f>
        <v>Agricultor e trabalhador qualificado de cereais e outras culturas extensivas</v>
      </c>
    </row>
    <row r="851" spans="1:3" ht="15">
      <c r="A851">
        <v>4</v>
      </c>
      <c r="B851" t="str">
        <f>"6112"</f>
        <v>6112</v>
      </c>
      <c r="C851" t="str">
        <f>"Agricultor e trabalhador qualificado de culturas de árvores e arbustos "</f>
        <v>Agricultor e trabalhador qualificado de culturas de árvores e arbustos </v>
      </c>
    </row>
    <row r="852" spans="1:3" ht="15">
      <c r="A852">
        <v>5</v>
      </c>
      <c r="B852" t="str">
        <f>"6112.0"</f>
        <v>6112.0</v>
      </c>
      <c r="C852" t="str">
        <f>"Agricultor e trabalhador qualificado de culturas de árvores e arbustos "</f>
        <v>Agricultor e trabalhador qualificado de culturas de árvores e arbustos </v>
      </c>
    </row>
    <row r="853" spans="1:3" ht="15">
      <c r="A853">
        <v>4</v>
      </c>
      <c r="B853" t="str">
        <f>"6113"</f>
        <v>6113</v>
      </c>
      <c r="C853" t="str">
        <f>"Agricultor e trabalhador qualificado, da horticultura, floricultura, de viveiros e jardins "</f>
        <v>Agricultor e trabalhador qualificado, da horticultura, floricultura, de viveiros e jardins </v>
      </c>
    </row>
    <row r="854" spans="1:3" ht="15">
      <c r="A854">
        <v>5</v>
      </c>
      <c r="B854" t="str">
        <f>"6113.1"</f>
        <v>6113.1</v>
      </c>
      <c r="C854" t="str">
        <f>"Agricultor e trabalhador qualificado da horticultura"</f>
        <v>Agricultor e trabalhador qualificado da horticultura</v>
      </c>
    </row>
    <row r="855" spans="1:3" ht="15">
      <c r="A855">
        <v>5</v>
      </c>
      <c r="B855" t="str">
        <f>"6113.2"</f>
        <v>6113.2</v>
      </c>
      <c r="C855" t="str">
        <f>"Floricultor"</f>
        <v>Floricultor</v>
      </c>
    </row>
    <row r="856" spans="1:3" ht="15">
      <c r="A856">
        <v>5</v>
      </c>
      <c r="B856" t="str">
        <f>"6113.3"</f>
        <v>6113.3</v>
      </c>
      <c r="C856" t="str">
        <f>"Viveirista"</f>
        <v>Viveirista</v>
      </c>
    </row>
    <row r="857" spans="1:3" ht="15">
      <c r="A857">
        <v>5</v>
      </c>
      <c r="B857" t="str">
        <f>"6113.4"</f>
        <v>6113.4</v>
      </c>
      <c r="C857" t="str">
        <f>"Trabalhador qualificado da jardinagem"</f>
        <v>Trabalhador qualificado da jardinagem</v>
      </c>
    </row>
    <row r="858" spans="1:3" ht="15">
      <c r="A858">
        <v>4</v>
      </c>
      <c r="B858" t="str">
        <f>"6114"</f>
        <v>6114</v>
      </c>
      <c r="C858" t="str">
        <f>"Agricultor e trabalhador qualificado de culturas agrícolas mistas"</f>
        <v>Agricultor e trabalhador qualificado de culturas agrícolas mistas</v>
      </c>
    </row>
    <row r="859" spans="1:3" ht="15">
      <c r="A859">
        <v>5</v>
      </c>
      <c r="B859" t="str">
        <f>"6114.0"</f>
        <v>6114.0</v>
      </c>
      <c r="C859" t="str">
        <f>"Agricultor e trabalhador qualificado de culturas agrícolas mistas"</f>
        <v>Agricultor e trabalhador qualificado de culturas agrícolas mistas</v>
      </c>
    </row>
    <row r="860" spans="1:3" ht="15">
      <c r="A860">
        <v>3</v>
      </c>
      <c r="B860" t="str">
        <f>"612"</f>
        <v>612</v>
      </c>
      <c r="C860" t="str">
        <f>"Produtores e trabalhadores qualificados na criação animal"</f>
        <v>Produtores e trabalhadores qualificados na criação animal</v>
      </c>
    </row>
    <row r="861" spans="1:3" ht="15">
      <c r="A861">
        <v>4</v>
      </c>
      <c r="B861" t="str">
        <f>"6121"</f>
        <v>6121</v>
      </c>
      <c r="C861" t="str">
        <f>"Produtores e trabalhadores qualificados na produção animal de carne e de leite "</f>
        <v>Produtores e trabalhadores qualificados na produção animal de carne e de leite </v>
      </c>
    </row>
    <row r="862" spans="1:3" ht="15">
      <c r="A862">
        <v>5</v>
      </c>
      <c r="B862" t="str">
        <f>"6121.1"</f>
        <v>6121.1</v>
      </c>
      <c r="C862" t="str">
        <f>"Produtor e trabalhador qualificado na produção de bovinos"</f>
        <v>Produtor e trabalhador qualificado na produção de bovinos</v>
      </c>
    </row>
    <row r="863" spans="1:3" ht="15">
      <c r="A863">
        <v>5</v>
      </c>
      <c r="B863" t="str">
        <f>"6121.2"</f>
        <v>6121.2</v>
      </c>
      <c r="C863" t="str">
        <f>"Produtor e trabalhador qualificado na produção de ovinos e caprinos"</f>
        <v>Produtor e trabalhador qualificado na produção de ovinos e caprinos</v>
      </c>
    </row>
    <row r="864" spans="1:3" ht="15">
      <c r="A864">
        <v>5</v>
      </c>
      <c r="B864" t="str">
        <f>"6121.3"</f>
        <v>6121.3</v>
      </c>
      <c r="C864" t="str">
        <f>"Produtor e trabalhador qualificado na produção de suinos"</f>
        <v>Produtor e trabalhador qualificado na produção de suinos</v>
      </c>
    </row>
    <row r="865" spans="1:3" ht="15">
      <c r="A865">
        <v>5</v>
      </c>
      <c r="B865" t="str">
        <f>"6121.4"</f>
        <v>6121.4</v>
      </c>
      <c r="C865" t="str">
        <f>"Produtor e trabalhador qualificado na produção de outros animais de carne"</f>
        <v>Produtor e trabalhador qualificado na produção de outros animais de carne</v>
      </c>
    </row>
    <row r="866" spans="1:3" ht="15">
      <c r="A866">
        <v>4</v>
      </c>
      <c r="B866" t="str">
        <f>"6122"</f>
        <v>6122</v>
      </c>
      <c r="C866" t="str">
        <f>"Avicultor e trabalhador qualificado da avicultura "</f>
        <v>Avicultor e trabalhador qualificado da avicultura </v>
      </c>
    </row>
    <row r="867" spans="1:3" ht="15">
      <c r="A867">
        <v>5</v>
      </c>
      <c r="B867" t="str">
        <f>"6122.0"</f>
        <v>6122.0</v>
      </c>
      <c r="C867" t="str">
        <f>"Avicultor e trabalhador qualificado da avicultura "</f>
        <v>Avicultor e trabalhador qualificado da avicultura </v>
      </c>
    </row>
    <row r="868" spans="1:3" ht="15">
      <c r="A868">
        <v>4</v>
      </c>
      <c r="B868" t="str">
        <f>"6123"</f>
        <v>6123</v>
      </c>
      <c r="C868" t="str">
        <f>"Apicultor e sericicultor"</f>
        <v>Apicultor e sericicultor</v>
      </c>
    </row>
    <row r="869" spans="1:3" ht="15">
      <c r="A869">
        <v>5</v>
      </c>
      <c r="B869" t="str">
        <f>"6123.1"</f>
        <v>6123.1</v>
      </c>
      <c r="C869" t="str">
        <f>"Apicultor e trabalhador qualificado da apicultura "</f>
        <v>Apicultor e trabalhador qualificado da apicultura </v>
      </c>
    </row>
    <row r="870" spans="1:3" ht="15">
      <c r="A870">
        <v>5</v>
      </c>
      <c r="B870" t="str">
        <f>"6123.2"</f>
        <v>6123.2</v>
      </c>
      <c r="C870" t="str">
        <f>"Sericicultor e trabalhador qualificado da sericicultura"</f>
        <v>Sericicultor e trabalhador qualificado da sericicultura</v>
      </c>
    </row>
    <row r="871" spans="1:3" ht="15">
      <c r="A871">
        <v>4</v>
      </c>
      <c r="B871" t="str">
        <f>"6129"</f>
        <v>6129</v>
      </c>
      <c r="C871" t="str">
        <f>"Outros produtores e trabalhadores qualificados da criação animal"</f>
        <v>Outros produtores e trabalhadores qualificados da criação animal</v>
      </c>
    </row>
    <row r="872" spans="1:3" ht="15">
      <c r="A872">
        <v>5</v>
      </c>
      <c r="B872" t="str">
        <f>"6129.0"</f>
        <v>6129.0</v>
      </c>
      <c r="C872" t="str">
        <f>"Outros produtores e trabalhadores qualificados da criação animal"</f>
        <v>Outros produtores e trabalhadores qualificados da criação animal</v>
      </c>
    </row>
    <row r="873" spans="1:3" ht="15">
      <c r="A873">
        <v>3</v>
      </c>
      <c r="B873" t="str">
        <f>"613"</f>
        <v>613</v>
      </c>
      <c r="C873" t="str">
        <f>"Agricultor e trabalhador qualificado da agricultura e produção animal combinadas, orientados para o mercado "</f>
        <v>Agricultor e trabalhador qualificado da agricultura e produção animal combinadas, orientados para o mercado </v>
      </c>
    </row>
    <row r="874" spans="1:3" ht="15">
      <c r="A874">
        <v>4</v>
      </c>
      <c r="B874" t="str">
        <f>"6130"</f>
        <v>6130</v>
      </c>
      <c r="C874" t="str">
        <f>"Agricultor e trabalhador qualificado da agricultura e produção animal combinadas, orientados para o mercado "</f>
        <v>Agricultor e trabalhador qualificado da agricultura e produção animal combinadas, orientados para o mercado </v>
      </c>
    </row>
    <row r="875" spans="1:3" ht="15">
      <c r="A875">
        <v>5</v>
      </c>
      <c r="B875" t="str">
        <f>"6130.0"</f>
        <v>6130.0</v>
      </c>
      <c r="C875" t="str">
        <f>"Agricultor e trabalhador qualificado da agricultura e produção animal combinadas, orientados para o mercado "</f>
        <v>Agricultor e trabalhador qualificado da agricultura e produção animal combinadas, orientados para o mercado </v>
      </c>
    </row>
    <row r="876" spans="1:3" ht="15">
      <c r="A876">
        <v>2</v>
      </c>
      <c r="B876" t="str">
        <f>"62"</f>
        <v>62</v>
      </c>
      <c r="C876" t="str">
        <f>"Trabalhadores qualificados da floresta, pesca e caça, orientados para o mercado"</f>
        <v>Trabalhadores qualificados da floresta, pesca e caça, orientados para o mercado</v>
      </c>
    </row>
    <row r="877" spans="1:3" ht="15">
      <c r="A877">
        <v>3</v>
      </c>
      <c r="B877" t="str">
        <f>"621"</f>
        <v>621</v>
      </c>
      <c r="C877" t="str">
        <f>"Trabalhadores qualificados da floresta e similares"</f>
        <v>Trabalhadores qualificados da floresta e similares</v>
      </c>
    </row>
    <row r="878" spans="1:3" ht="15">
      <c r="A878">
        <v>4</v>
      </c>
      <c r="B878" t="str">
        <f>"6210"</f>
        <v>6210</v>
      </c>
      <c r="C878" t="str">
        <f>"Trabalhadores qualificados da floresta e similares"</f>
        <v>Trabalhadores qualificados da floresta e similares</v>
      </c>
    </row>
    <row r="879" spans="1:3" ht="15">
      <c r="A879">
        <v>5</v>
      </c>
      <c r="B879" t="str">
        <f>"6210.1"</f>
        <v>6210.1</v>
      </c>
      <c r="C879" t="str">
        <f>"Motosserrista"</f>
        <v>Motosserrista</v>
      </c>
    </row>
    <row r="880" spans="1:3" ht="15">
      <c r="A880">
        <v>5</v>
      </c>
      <c r="B880" t="str">
        <f>"6210.2"</f>
        <v>6210.2</v>
      </c>
      <c r="C880" t="str">
        <f>"Sapador florestal"</f>
        <v>Sapador florestal</v>
      </c>
    </row>
    <row r="881" spans="1:3" ht="15">
      <c r="A881">
        <v>5</v>
      </c>
      <c r="B881" t="str">
        <f>"6210.3"</f>
        <v>6210.3</v>
      </c>
      <c r="C881" t="str">
        <f>"Outros trabalhadores qualificados da floresta e similares "</f>
        <v>Outros trabalhadores qualificados da floresta e similares </v>
      </c>
    </row>
    <row r="882" spans="1:3" ht="15">
      <c r="A882">
        <v>3</v>
      </c>
      <c r="B882" t="str">
        <f>"622"</f>
        <v>622</v>
      </c>
      <c r="C882" t="str">
        <f>"Trabalhadores qualificados da aquicultura e das pescas; caçador (inclui com armadilha)"</f>
        <v>Trabalhadores qualificados da aquicultura e das pescas; caçador (inclui com armadilha)</v>
      </c>
    </row>
    <row r="883" spans="1:3" ht="15">
      <c r="A883">
        <v>4</v>
      </c>
      <c r="B883" t="str">
        <f>"6221"</f>
        <v>6221</v>
      </c>
      <c r="C883" t="str">
        <f>"Aquicultores (aquacultores) e trabalhadores qualificados da aquicultura "</f>
        <v>Aquicultores (aquacultores) e trabalhadores qualificados da aquicultura </v>
      </c>
    </row>
    <row r="884" spans="1:3" ht="15">
      <c r="A884">
        <v>5</v>
      </c>
      <c r="B884" t="str">
        <f>"6221.1"</f>
        <v>6221.1</v>
      </c>
      <c r="C884" t="str">
        <f>"Aquicultor (aquacultor) e trabalhador qualificado de aquicultura de águas interiores"</f>
        <v>Aquicultor (aquacultor) e trabalhador qualificado de aquicultura de águas interiores</v>
      </c>
    </row>
    <row r="885" spans="1:3" ht="15">
      <c r="A885">
        <v>5</v>
      </c>
      <c r="B885" t="str">
        <f>"6221.2"</f>
        <v>6221.2</v>
      </c>
      <c r="C885" t="str">
        <f>"Aquicultor (aquacultor) e trabalhador qualificado de aquicultura de águas marítimas"</f>
        <v>Aquicultor (aquacultor) e trabalhador qualificado de aquicultura de águas marítimas</v>
      </c>
    </row>
    <row r="886" spans="1:3" ht="15">
      <c r="A886">
        <v>4</v>
      </c>
      <c r="B886" t="str">
        <f>"6222"</f>
        <v>6222</v>
      </c>
      <c r="C886" t="str">
        <f>"Pescadores e trabalhadores qualificados da pesca em águas costeiras e interiores"</f>
        <v>Pescadores e trabalhadores qualificados da pesca em águas costeiras e interiores</v>
      </c>
    </row>
    <row r="887" spans="1:3" ht="15">
      <c r="A887">
        <v>5</v>
      </c>
      <c r="B887" t="str">
        <f>"6222.1"</f>
        <v>6222.1</v>
      </c>
      <c r="C887" t="str">
        <f>"Pescador de águas interiores"</f>
        <v>Pescador de águas interiores</v>
      </c>
    </row>
    <row r="888" spans="1:3" ht="15">
      <c r="A888">
        <v>5</v>
      </c>
      <c r="B888" t="str">
        <f>"6222.2"</f>
        <v>6222.2</v>
      </c>
      <c r="C888" t="str">
        <f>"Mestre, contramestre e arrais, de pesca marítima costeira"</f>
        <v>Mestre, contramestre e arrais, de pesca marítima costeira</v>
      </c>
    </row>
    <row r="889" spans="1:3" ht="15">
      <c r="A889">
        <v>5</v>
      </c>
      <c r="B889" t="str">
        <f>"6222.3"</f>
        <v>6222.3</v>
      </c>
      <c r="C889" t="str">
        <f>"Pescador e marinheiro pescador, de pesca marítima costeira "</f>
        <v>Pescador e marinheiro pescador, de pesca marítima costeira </v>
      </c>
    </row>
    <row r="890" spans="1:3" ht="15">
      <c r="A890">
        <v>5</v>
      </c>
      <c r="B890" t="str">
        <f>"6222.4"</f>
        <v>6222.4</v>
      </c>
      <c r="C890" t="str">
        <f>"Outros trabalhadores qualificados de pesca de águas interiores"</f>
        <v>Outros trabalhadores qualificados de pesca de águas interiores</v>
      </c>
    </row>
    <row r="891" spans="1:3" ht="15">
      <c r="A891">
        <v>5</v>
      </c>
      <c r="B891" t="str">
        <f>"6222.5"</f>
        <v>6222.5</v>
      </c>
      <c r="C891" t="str">
        <f>"Outros trabalhadores qualificados de pesca marítima costeira "</f>
        <v>Outros trabalhadores qualificados de pesca marítima costeira </v>
      </c>
    </row>
    <row r="892" spans="1:3" ht="15">
      <c r="A892">
        <v>4</v>
      </c>
      <c r="B892" t="str">
        <f>"6223"</f>
        <v>6223</v>
      </c>
      <c r="C892" t="str">
        <f>"Pescadores e trabalhadores qualificados da pesca do largo (alto mar)"</f>
        <v>Pescadores e trabalhadores qualificados da pesca do largo (alto mar)</v>
      </c>
    </row>
    <row r="893" spans="1:3" ht="15">
      <c r="A893">
        <v>5</v>
      </c>
      <c r="B893" t="str">
        <f>"6223.1"</f>
        <v>6223.1</v>
      </c>
      <c r="C893" t="str">
        <f>"Mestre, contramestre e arrais, de pesca marítima do largo"</f>
        <v>Mestre, contramestre e arrais, de pesca marítima do largo</v>
      </c>
    </row>
    <row r="894" spans="1:3" ht="15">
      <c r="A894">
        <v>5</v>
      </c>
      <c r="B894" t="str">
        <f>"6223.2"</f>
        <v>6223.2</v>
      </c>
      <c r="C894" t="str">
        <f>"Pescador e marinheiro pescador, de pesca marítima do largo"</f>
        <v>Pescador e marinheiro pescador, de pesca marítima do largo</v>
      </c>
    </row>
    <row r="895" spans="1:3" ht="15">
      <c r="A895">
        <v>5</v>
      </c>
      <c r="B895" t="str">
        <f>"6223.3"</f>
        <v>6223.3</v>
      </c>
      <c r="C895" t="str">
        <f>"Outros trabalhadores qualificados da pesca marítima do largo "</f>
        <v>Outros trabalhadores qualificados da pesca marítima do largo </v>
      </c>
    </row>
    <row r="896" spans="1:3" ht="15">
      <c r="A896">
        <v>4</v>
      </c>
      <c r="B896" t="str">
        <f>"6224"</f>
        <v>6224</v>
      </c>
      <c r="C896" t="str">
        <f>"Caçador qualificado (inclui com armadilhas) orientado para o mercado"</f>
        <v>Caçador qualificado (inclui com armadilhas) orientado para o mercado</v>
      </c>
    </row>
    <row r="897" spans="1:3" ht="15">
      <c r="A897">
        <v>5</v>
      </c>
      <c r="B897" t="str">
        <f>"6224.0"</f>
        <v>6224.0</v>
      </c>
      <c r="C897" t="str">
        <f>"Caçador qualificado (inclui com armadilhas) orientado para o mercado"</f>
        <v>Caçador qualificado (inclui com armadilhas) orientado para o mercado</v>
      </c>
    </row>
    <row r="898" spans="1:3" ht="15">
      <c r="A898">
        <v>2</v>
      </c>
      <c r="B898" t="str">
        <f>"63"</f>
        <v>63</v>
      </c>
      <c r="C898" t="str">
        <f>"Agricultores, criadores de animais, pescadores, caçadores e colectores, de subsistência "</f>
        <v>Agricultores, criadores de animais, pescadores, caçadores e colectores, de subsistência </v>
      </c>
    </row>
    <row r="899" spans="1:3" ht="15">
      <c r="A899">
        <v>3</v>
      </c>
      <c r="B899" t="str">
        <f>"631"</f>
        <v>631</v>
      </c>
      <c r="C899" t="str">
        <f>"Agricultor de subsistência "</f>
        <v>Agricultor de subsistência </v>
      </c>
    </row>
    <row r="900" spans="1:3" ht="15">
      <c r="A900">
        <v>4</v>
      </c>
      <c r="B900" t="str">
        <f>"6310"</f>
        <v>6310</v>
      </c>
      <c r="C900" t="str">
        <f>"Agricultor de subsistência "</f>
        <v>Agricultor de subsistência </v>
      </c>
    </row>
    <row r="901" spans="1:3" ht="15">
      <c r="A901">
        <v>5</v>
      </c>
      <c r="B901" t="str">
        <f>"6310.0"</f>
        <v>6310.0</v>
      </c>
      <c r="C901" t="str">
        <f>"Agricultor de subsistência "</f>
        <v>Agricultor de subsistência </v>
      </c>
    </row>
    <row r="902" spans="1:3" ht="15">
      <c r="A902">
        <v>3</v>
      </c>
      <c r="B902" t="str">
        <f>"632"</f>
        <v>632</v>
      </c>
      <c r="C902" t="str">
        <f>"Criador de animais de subsistência"</f>
        <v>Criador de animais de subsistência</v>
      </c>
    </row>
    <row r="903" spans="1:3" ht="15">
      <c r="A903">
        <v>4</v>
      </c>
      <c r="B903" t="str">
        <f>"6320"</f>
        <v>6320</v>
      </c>
      <c r="C903" t="str">
        <f>"Criador de animais de subsistência"</f>
        <v>Criador de animais de subsistência</v>
      </c>
    </row>
    <row r="904" spans="1:3" ht="15">
      <c r="A904">
        <v>5</v>
      </c>
      <c r="B904" t="str">
        <f>"6320.0"</f>
        <v>6320.0</v>
      </c>
      <c r="C904" t="str">
        <f>"Criador de animais de subsistência"</f>
        <v>Criador de animais de subsistência</v>
      </c>
    </row>
    <row r="905" spans="1:3" ht="15">
      <c r="A905">
        <v>3</v>
      </c>
      <c r="B905" t="str">
        <f>"633"</f>
        <v>633</v>
      </c>
      <c r="C905" t="str">
        <f>"Agricultor e criador de animais de produção combinada, de subsistência "</f>
        <v>Agricultor e criador de animais de produção combinada, de subsistência </v>
      </c>
    </row>
    <row r="906" spans="1:3" ht="15">
      <c r="A906">
        <v>4</v>
      </c>
      <c r="B906" t="str">
        <f>"6330"</f>
        <v>6330</v>
      </c>
      <c r="C906" t="str">
        <f>"Agricultor e criador de animais de produção combinada, de subsistência "</f>
        <v>Agricultor e criador de animais de produção combinada, de subsistência </v>
      </c>
    </row>
    <row r="907" spans="1:3" ht="15">
      <c r="A907">
        <v>5</v>
      </c>
      <c r="B907" t="str">
        <f>"6330.0"</f>
        <v>6330.0</v>
      </c>
      <c r="C907" t="str">
        <f>"Agricultor e criador de animais de produção combinada, de subsistência "</f>
        <v>Agricultor e criador de animais de produção combinada, de subsistência </v>
      </c>
    </row>
    <row r="908" spans="1:3" ht="15">
      <c r="A908">
        <v>3</v>
      </c>
      <c r="B908" t="str">
        <f>"634"</f>
        <v>634</v>
      </c>
      <c r="C908" t="str">
        <f>"Pescador, caçador e colector, de subsistência"</f>
        <v>Pescador, caçador e colector, de subsistência</v>
      </c>
    </row>
    <row r="909" spans="1:3" ht="15">
      <c r="A909">
        <v>4</v>
      </c>
      <c r="B909" t="str">
        <f>"6340"</f>
        <v>6340</v>
      </c>
      <c r="C909" t="str">
        <f>"Pescador, caçador e colector, de subsistência"</f>
        <v>Pescador, caçador e colector, de subsistência</v>
      </c>
    </row>
    <row r="910" spans="1:3" ht="15">
      <c r="A910">
        <v>5</v>
      </c>
      <c r="B910" t="str">
        <f>"6340.0"</f>
        <v>6340.0</v>
      </c>
      <c r="C910" t="str">
        <f>"Pescador, caçador e colector, de subsistência"</f>
        <v>Pescador, caçador e colector, de subsistência</v>
      </c>
    </row>
    <row r="911" spans="1:3" ht="15">
      <c r="A911">
        <v>1</v>
      </c>
      <c r="B911" t="str">
        <f>"7"</f>
        <v>7</v>
      </c>
      <c r="C911" t="str">
        <f>"Trabalhadores qualificados da indústria, construção e artífices"</f>
        <v>Trabalhadores qualificados da indústria, construção e artífices</v>
      </c>
    </row>
    <row r="912" spans="1:3" ht="15">
      <c r="A912">
        <v>2</v>
      </c>
      <c r="B912" t="str">
        <f>"71"</f>
        <v>71</v>
      </c>
      <c r="C912" t="str">
        <f>"Trabalhadores qualificados da construção e similares, excepto electricista "</f>
        <v>Trabalhadores qualificados da construção e similares, excepto electricista </v>
      </c>
    </row>
    <row r="913" spans="1:3" ht="15">
      <c r="A913">
        <v>3</v>
      </c>
      <c r="B913" t="str">
        <f>"711"</f>
        <v>711</v>
      </c>
      <c r="C913" t="str">
        <f>"Trabalhadores qualificados da construção das estruturas básicas e similares"</f>
        <v>Trabalhadores qualificados da construção das estruturas básicas e similares</v>
      </c>
    </row>
    <row r="914" spans="1:3" ht="15">
      <c r="A914">
        <v>4</v>
      </c>
      <c r="B914" t="str">
        <f>"7111"</f>
        <v>7111</v>
      </c>
      <c r="C914" t="str">
        <f>"Construtor de casas rudimentares"</f>
        <v>Construtor de casas rudimentares</v>
      </c>
    </row>
    <row r="915" spans="1:3" ht="15">
      <c r="A915">
        <v>5</v>
      </c>
      <c r="B915" t="str">
        <f>"7111.0"</f>
        <v>7111.0</v>
      </c>
      <c r="C915" t="str">
        <f>"Construtor de casas rudimentares"</f>
        <v>Construtor de casas rudimentares</v>
      </c>
    </row>
    <row r="916" spans="1:3" ht="15">
      <c r="A916">
        <v>4</v>
      </c>
      <c r="B916" t="str">
        <f>"7112"</f>
        <v>7112</v>
      </c>
      <c r="C916" t="str">
        <f>"Pedreiro, calceteiro e assentador de refractários "</f>
        <v>Pedreiro, calceteiro e assentador de refractários </v>
      </c>
    </row>
    <row r="917" spans="1:3" ht="15">
      <c r="A917">
        <v>5</v>
      </c>
      <c r="B917" t="str">
        <f>"7112.1"</f>
        <v>7112.1</v>
      </c>
      <c r="C917" t="str">
        <f>"Pedreiro"</f>
        <v>Pedreiro</v>
      </c>
    </row>
    <row r="918" spans="1:3" ht="15">
      <c r="A918">
        <v>5</v>
      </c>
      <c r="B918" t="str">
        <f>"7112.2"</f>
        <v>7112.2</v>
      </c>
      <c r="C918" t="str">
        <f>"Calceteiro "</f>
        <v>Calceteiro </v>
      </c>
    </row>
    <row r="919" spans="1:3" ht="15">
      <c r="A919">
        <v>5</v>
      </c>
      <c r="B919" t="str">
        <f>"7112.3"</f>
        <v>7112.3</v>
      </c>
      <c r="C919" t="str">
        <f>"Assentador de refractários"</f>
        <v>Assentador de refractários</v>
      </c>
    </row>
    <row r="920" spans="1:3" ht="15">
      <c r="A920">
        <v>4</v>
      </c>
      <c r="B920" t="str">
        <f>"7113"</f>
        <v>7113</v>
      </c>
      <c r="C920" t="str">
        <f>"Trabalhadores da pedra, canteiros e similares "</f>
        <v>Trabalhadores da pedra, canteiros e similares </v>
      </c>
    </row>
    <row r="921" spans="1:3" ht="15">
      <c r="A921">
        <v>5</v>
      </c>
      <c r="B921" t="str">
        <f>"7113.1"</f>
        <v>7113.1</v>
      </c>
      <c r="C921" t="str">
        <f>"Polidor de pedra"</f>
        <v>Polidor de pedra</v>
      </c>
    </row>
    <row r="922" spans="1:3" ht="15">
      <c r="A922">
        <v>5</v>
      </c>
      <c r="B922" t="str">
        <f>"7113.2"</f>
        <v>7113.2</v>
      </c>
      <c r="C922" t="str">
        <f>"Canteiro"</f>
        <v>Canteiro</v>
      </c>
    </row>
    <row r="923" spans="1:3" ht="15">
      <c r="A923">
        <v>5</v>
      </c>
      <c r="B923" t="str">
        <f>"7113.3"</f>
        <v>7113.3</v>
      </c>
      <c r="C923" t="str">
        <f>"Outros trabalhadores qualificados da pedra e similares"</f>
        <v>Outros trabalhadores qualificados da pedra e similares</v>
      </c>
    </row>
    <row r="924" spans="1:3" ht="15">
      <c r="A924">
        <v>4</v>
      </c>
      <c r="B924" t="str">
        <f>"7114"</f>
        <v>7114</v>
      </c>
      <c r="C924" t="str">
        <f>"Trabalhadores de betão armado e similares"</f>
        <v>Trabalhadores de betão armado e similares</v>
      </c>
    </row>
    <row r="925" spans="1:3" ht="15">
      <c r="A925">
        <v>5</v>
      </c>
      <c r="B925" t="str">
        <f>"7114.1"</f>
        <v>7114.1</v>
      </c>
      <c r="C925" t="str">
        <f>"Cimenteiro"</f>
        <v>Cimenteiro</v>
      </c>
    </row>
    <row r="926" spans="1:3" ht="15">
      <c r="A926">
        <v>5</v>
      </c>
      <c r="B926" t="str">
        <f>"7114.2"</f>
        <v>7114.2</v>
      </c>
      <c r="C926" t="str">
        <f>"Armador de ferro"</f>
        <v>Armador de ferro</v>
      </c>
    </row>
    <row r="927" spans="1:3" ht="15">
      <c r="A927">
        <v>5</v>
      </c>
      <c r="B927" t="str">
        <f>"7114.3"</f>
        <v>7114.3</v>
      </c>
      <c r="C927" t="str">
        <f>"Montador de alvenarias e de pré-esforçados"</f>
        <v>Montador de alvenarias e de pré-esforçados</v>
      </c>
    </row>
    <row r="928" spans="1:3" ht="15">
      <c r="A928">
        <v>5</v>
      </c>
      <c r="B928" t="str">
        <f>"7114.4"</f>
        <v>7114.4</v>
      </c>
      <c r="C928" t="str">
        <f>"Outros trabalhadores qualificados em betão armado e similares"</f>
        <v>Outros trabalhadores qualificados em betão armado e similares</v>
      </c>
    </row>
    <row r="929" spans="1:3" ht="15">
      <c r="A929">
        <v>4</v>
      </c>
      <c r="B929" t="str">
        <f>"7115"</f>
        <v>7115</v>
      </c>
      <c r="C929" t="str">
        <f>"Carpinteiros e similares"</f>
        <v>Carpinteiros e similares</v>
      </c>
    </row>
    <row r="930" spans="1:3" ht="15">
      <c r="A930">
        <v>5</v>
      </c>
      <c r="B930" t="str">
        <f>"7115.1"</f>
        <v>7115.1</v>
      </c>
      <c r="C930" t="str">
        <f>"Carpinteiro de limpos e de tosco"</f>
        <v>Carpinteiro de limpos e de tosco</v>
      </c>
    </row>
    <row r="931" spans="1:3" ht="15">
      <c r="A931">
        <v>5</v>
      </c>
      <c r="B931" t="str">
        <f>"7115.2"</f>
        <v>7115.2</v>
      </c>
      <c r="C931" t="str">
        <f>"Carpinteiro naval"</f>
        <v>Carpinteiro naval</v>
      </c>
    </row>
    <row r="932" spans="1:3" ht="15">
      <c r="A932">
        <v>5</v>
      </c>
      <c r="B932" t="str">
        <f>"7115.3"</f>
        <v>7115.3</v>
      </c>
      <c r="C932" t="str">
        <f>"Outros carpinteiros e similares"</f>
        <v>Outros carpinteiros e similares</v>
      </c>
    </row>
    <row r="933" spans="1:3" ht="15">
      <c r="A933">
        <v>4</v>
      </c>
      <c r="B933" t="str">
        <f>"7119"</f>
        <v>7119</v>
      </c>
      <c r="C933" t="str">
        <f>"Outros trabalhadores qualificados da construção das estruturas básicas e similares"</f>
        <v>Outros trabalhadores qualificados da construção das estruturas básicas e similares</v>
      </c>
    </row>
    <row r="934" spans="1:3" ht="15">
      <c r="A934">
        <v>5</v>
      </c>
      <c r="B934" t="str">
        <f>"7119.1"</f>
        <v>7119.1</v>
      </c>
      <c r="C934" t="str">
        <f>"Montador de andaimes"</f>
        <v>Montador de andaimes</v>
      </c>
    </row>
    <row r="935" spans="1:3" ht="15">
      <c r="A935">
        <v>5</v>
      </c>
      <c r="B935" t="str">
        <f>"7119.2"</f>
        <v>7119.2</v>
      </c>
      <c r="C935" t="str">
        <f>"Espalhador de betuminosos "</f>
        <v>Espalhador de betuminosos </v>
      </c>
    </row>
    <row r="936" spans="1:3" ht="15">
      <c r="A936">
        <v>5</v>
      </c>
      <c r="B936" t="str">
        <f>"7119.3"</f>
        <v>7119.3</v>
      </c>
      <c r="C936" t="str">
        <f>"Outros trabalhadores qualificados da construção de estruturas básicas e similares, n.e."</f>
        <v>Outros trabalhadores qualificados da construção de estruturas básicas e similares, n.e.</v>
      </c>
    </row>
    <row r="937" spans="1:3" ht="15">
      <c r="A937">
        <v>3</v>
      </c>
      <c r="B937" t="str">
        <f>"712"</f>
        <v>712</v>
      </c>
      <c r="C937" t="str">
        <f>"Trabalhadores qualificados em acabamentos da construção e similares "</f>
        <v>Trabalhadores qualificados em acabamentos da construção e similares </v>
      </c>
    </row>
    <row r="938" spans="1:3" ht="15">
      <c r="A938">
        <v>4</v>
      </c>
      <c r="B938" t="str">
        <f>"7121"</f>
        <v>7121</v>
      </c>
      <c r="C938" t="str">
        <f>"Colocador de telhados e de coberturas "</f>
        <v>Colocador de telhados e de coberturas </v>
      </c>
    </row>
    <row r="939" spans="1:3" ht="15">
      <c r="A939">
        <v>5</v>
      </c>
      <c r="B939" t="str">
        <f>"7121.0"</f>
        <v>7121.0</v>
      </c>
      <c r="C939" t="str">
        <f>"Colocador de telhados e de coberturas "</f>
        <v>Colocador de telhados e de coberturas </v>
      </c>
    </row>
    <row r="940" spans="1:3" ht="15">
      <c r="A940">
        <v>4</v>
      </c>
      <c r="B940" t="str">
        <f>"7122"</f>
        <v>7122</v>
      </c>
      <c r="C940" t="str">
        <f>"Assentadores de revestimentos e ladrilhadores"</f>
        <v>Assentadores de revestimentos e ladrilhadores</v>
      </c>
    </row>
    <row r="941" spans="1:3" ht="15">
      <c r="A941">
        <v>5</v>
      </c>
      <c r="B941" t="str">
        <f>"7122.1"</f>
        <v>7122.1</v>
      </c>
      <c r="C941" t="str">
        <f>"Assentador de tacos e afagador de madeira"</f>
        <v>Assentador de tacos e afagador de madeira</v>
      </c>
    </row>
    <row r="942" spans="1:3" ht="15">
      <c r="A942">
        <v>5</v>
      </c>
      <c r="B942" t="str">
        <f>"7122.2"</f>
        <v>7122.2</v>
      </c>
      <c r="C942" t="str">
        <f>"Ladrilhador"</f>
        <v>Ladrilhador</v>
      </c>
    </row>
    <row r="943" spans="1:3" ht="15">
      <c r="A943">
        <v>5</v>
      </c>
      <c r="B943" t="str">
        <f>"7122.3"</f>
        <v>7122.3</v>
      </c>
      <c r="C943" t="str">
        <f>"Outros assentadores de revestimentos "</f>
        <v>Outros assentadores de revestimentos </v>
      </c>
    </row>
    <row r="944" spans="1:3" ht="15">
      <c r="A944">
        <v>4</v>
      </c>
      <c r="B944" t="str">
        <f>"7123"</f>
        <v>7123</v>
      </c>
      <c r="C944" t="str">
        <f>"Estucador"</f>
        <v>Estucador</v>
      </c>
    </row>
    <row r="945" spans="1:3" ht="15">
      <c r="A945">
        <v>5</v>
      </c>
      <c r="B945" t="str">
        <f>"7123.0"</f>
        <v>7123.0</v>
      </c>
      <c r="C945" t="str">
        <f>"Estucador"</f>
        <v>Estucador</v>
      </c>
    </row>
    <row r="946" spans="1:3" ht="15">
      <c r="A946">
        <v>4</v>
      </c>
      <c r="B946" t="str">
        <f>"7124"</f>
        <v>7124</v>
      </c>
      <c r="C946" t="str">
        <f>"Trabalhador qualificado em isolamentos acústicos e térmicos"</f>
        <v>Trabalhador qualificado em isolamentos acústicos e térmicos</v>
      </c>
    </row>
    <row r="947" spans="1:3" ht="15">
      <c r="A947">
        <v>5</v>
      </c>
      <c r="B947" t="str">
        <f>"7124.0"</f>
        <v>7124.0</v>
      </c>
      <c r="C947" t="str">
        <f>"Trabalhador qualificado em isolamentos acústicos e térmicos"</f>
        <v>Trabalhador qualificado em isolamentos acústicos e térmicos</v>
      </c>
    </row>
    <row r="948" spans="1:3" ht="15">
      <c r="A948">
        <v>4</v>
      </c>
      <c r="B948" t="str">
        <f>"7125"</f>
        <v>7125</v>
      </c>
      <c r="C948" t="str">
        <f>"Vidraceiro "</f>
        <v>Vidraceiro </v>
      </c>
    </row>
    <row r="949" spans="1:3" ht="15">
      <c r="A949">
        <v>5</v>
      </c>
      <c r="B949" t="str">
        <f>"7125.0"</f>
        <v>7125.0</v>
      </c>
      <c r="C949" t="str">
        <f>"Vidraceiro "</f>
        <v>Vidraceiro </v>
      </c>
    </row>
    <row r="950" spans="1:3" ht="15">
      <c r="A950">
        <v>4</v>
      </c>
      <c r="B950" t="str">
        <f>"7126"</f>
        <v>7126</v>
      </c>
      <c r="C950" t="str">
        <f>"Canalizador e montador de tubagens"</f>
        <v>Canalizador e montador de tubagens</v>
      </c>
    </row>
    <row r="951" spans="1:3" ht="15">
      <c r="A951">
        <v>5</v>
      </c>
      <c r="B951" t="str">
        <f>"7126.1"</f>
        <v>7126.1</v>
      </c>
      <c r="C951" t="str">
        <f>"Canalizador"</f>
        <v>Canalizador</v>
      </c>
    </row>
    <row r="952" spans="1:3" ht="15">
      <c r="A952">
        <v>5</v>
      </c>
      <c r="B952" t="str">
        <f>"7126.2"</f>
        <v>7126.2</v>
      </c>
      <c r="C952" t="str">
        <f>"Montador de tubagens"</f>
        <v>Montador de tubagens</v>
      </c>
    </row>
    <row r="953" spans="1:3" ht="15">
      <c r="A953">
        <v>4</v>
      </c>
      <c r="B953" t="str">
        <f>"7127"</f>
        <v>7127</v>
      </c>
      <c r="C953" t="str">
        <f>"Instalador de ar condicionado e de sistemas de refrigeração"</f>
        <v>Instalador de ar condicionado e de sistemas de refrigeração</v>
      </c>
    </row>
    <row r="954" spans="1:3" ht="15">
      <c r="A954">
        <v>5</v>
      </c>
      <c r="B954" t="str">
        <f>"7127.0"</f>
        <v>7127.0</v>
      </c>
      <c r="C954" t="str">
        <f>"Instalador de ar condicionado e de sistemas de refrigeração"</f>
        <v>Instalador de ar condicionado e de sistemas de refrigeração</v>
      </c>
    </row>
    <row r="955" spans="1:3" ht="15">
      <c r="A955">
        <v>3</v>
      </c>
      <c r="B955" t="str">
        <f>"713"</f>
        <v>713</v>
      </c>
      <c r="C955" t="str">
        <f>"Pintores, limpadores de fachadas e similares"</f>
        <v>Pintores, limpadores de fachadas e similares</v>
      </c>
    </row>
    <row r="956" spans="1:3" ht="15">
      <c r="A956">
        <v>4</v>
      </c>
      <c r="B956" t="str">
        <f>"7131"</f>
        <v>7131</v>
      </c>
      <c r="C956" t="str">
        <f>"Pintores de construções e trabalhadores similares"</f>
        <v>Pintores de construções e trabalhadores similares</v>
      </c>
    </row>
    <row r="957" spans="1:3" ht="15">
      <c r="A957">
        <v>5</v>
      </c>
      <c r="B957" t="str">
        <f>"7131.1"</f>
        <v>7131.1</v>
      </c>
      <c r="C957" t="str">
        <f>"Pintor de construções"</f>
        <v>Pintor de construções</v>
      </c>
    </row>
    <row r="958" spans="1:3" ht="15">
      <c r="A958">
        <v>5</v>
      </c>
      <c r="B958" t="str">
        <f>"7131.2"</f>
        <v>7131.2</v>
      </c>
      <c r="C958" t="str">
        <f>"Colocador de papel de parede, pintor decorador e similares "</f>
        <v>Colocador de papel de parede, pintor decorador e similares </v>
      </c>
    </row>
    <row r="959" spans="1:3" ht="15">
      <c r="A959">
        <v>4</v>
      </c>
      <c r="B959" t="str">
        <f>"7132"</f>
        <v>7132</v>
      </c>
      <c r="C959" t="str">
        <f>"Pintores à pistola e envernizadores"</f>
        <v>Pintores à pistola e envernizadores</v>
      </c>
    </row>
    <row r="960" spans="1:3" ht="15">
      <c r="A960">
        <v>5</v>
      </c>
      <c r="B960" t="str">
        <f>"7132.1"</f>
        <v>7132.1</v>
      </c>
      <c r="C960" t="str">
        <f>"Pintor à pistola de superfícies"</f>
        <v>Pintor à pistola de superfícies</v>
      </c>
    </row>
    <row r="961" spans="1:3" ht="15">
      <c r="A961">
        <v>5</v>
      </c>
      <c r="B961" t="str">
        <f>"7132.2"</f>
        <v>7132.2</v>
      </c>
      <c r="C961" t="str">
        <f>"Envernizador"</f>
        <v>Envernizador</v>
      </c>
    </row>
    <row r="962" spans="1:3" ht="15">
      <c r="A962">
        <v>4</v>
      </c>
      <c r="B962" t="str">
        <f>"7133"</f>
        <v>7133</v>
      </c>
      <c r="C962" t="str">
        <f>"Limpadores de fachadas e de outras estruturas de edifícios"</f>
        <v>Limpadores de fachadas e de outras estruturas de edifícios</v>
      </c>
    </row>
    <row r="963" spans="1:3" ht="15">
      <c r="A963">
        <v>5</v>
      </c>
      <c r="B963" t="str">
        <f>"7133.1"</f>
        <v>7133.1</v>
      </c>
      <c r="C963" t="str">
        <f>"Limpador de fachadas "</f>
        <v>Limpador de fachadas </v>
      </c>
    </row>
    <row r="964" spans="1:3" ht="15">
      <c r="A964">
        <v>5</v>
      </c>
      <c r="B964" t="str">
        <f>"7133.2"</f>
        <v>7133.2</v>
      </c>
      <c r="C964" t="str">
        <f>"Limpador de chaminés e de outras estruturas de edifícios "</f>
        <v>Limpador de chaminés e de outras estruturas de edifícios </v>
      </c>
    </row>
    <row r="965" spans="1:3" ht="15">
      <c r="A965">
        <v>2</v>
      </c>
      <c r="B965" t="str">
        <f>"72"</f>
        <v>72</v>
      </c>
      <c r="C965" t="str">
        <f>"Trabalhadores qualificados da metalurgia, metalomecânica e similares"</f>
        <v>Trabalhadores qualificados da metalurgia, metalomecânica e similares</v>
      </c>
    </row>
    <row r="966" spans="1:3" ht="15">
      <c r="A966">
        <v>3</v>
      </c>
      <c r="B966" t="str">
        <f>"721"</f>
        <v>721</v>
      </c>
      <c r="C966" t="str">
        <f>"Trabalhadores de chapas metálicas, preparadores e montadores de estruturas metálicas, moldadores de metal, soldadores e trabalhadores similares"</f>
        <v>Trabalhadores de chapas metálicas, preparadores e montadores de estruturas metálicas, moldadores de metal, soldadores e trabalhadores similares</v>
      </c>
    </row>
    <row r="967" spans="1:3" ht="15">
      <c r="A967">
        <v>4</v>
      </c>
      <c r="B967" t="str">
        <f>"7211"</f>
        <v>7211</v>
      </c>
      <c r="C967" t="str">
        <f>"Operador de fundição"</f>
        <v>Operador de fundição</v>
      </c>
    </row>
    <row r="968" spans="1:3" ht="15">
      <c r="A968">
        <v>5</v>
      </c>
      <c r="B968" t="str">
        <f>"7211.0"</f>
        <v>7211.0</v>
      </c>
      <c r="C968" t="str">
        <f>"Operador de fundição"</f>
        <v>Operador de fundição</v>
      </c>
    </row>
    <row r="969" spans="1:3" ht="15">
      <c r="A969">
        <v>4</v>
      </c>
      <c r="B969" t="str">
        <f>"7212"</f>
        <v>7212</v>
      </c>
      <c r="C969" t="str">
        <f>"Soldadores e trabalhadores de corte a oxi-gás"</f>
        <v>Soldadores e trabalhadores de corte a oxi-gás</v>
      </c>
    </row>
    <row r="970" spans="1:3" ht="15">
      <c r="A970">
        <v>5</v>
      </c>
      <c r="B970" t="str">
        <f>"7212.1"</f>
        <v>7212.1</v>
      </c>
      <c r="C970" t="str">
        <f>"Soldador"</f>
        <v>Soldador</v>
      </c>
    </row>
    <row r="971" spans="1:3" ht="15">
      <c r="A971">
        <v>5</v>
      </c>
      <c r="B971" t="str">
        <f>"7212.2"</f>
        <v>7212.2</v>
      </c>
      <c r="C971" t="str">
        <f>"Trabalhador de corte a oxi-gás"</f>
        <v>Trabalhador de corte a oxi-gás</v>
      </c>
    </row>
    <row r="972" spans="1:3" ht="15">
      <c r="A972">
        <v>4</v>
      </c>
      <c r="B972" t="str">
        <f>"7213"</f>
        <v>7213</v>
      </c>
      <c r="C972" t="str">
        <f>"Trabalhadores de chapas metálicas"</f>
        <v>Trabalhadores de chapas metálicas</v>
      </c>
    </row>
    <row r="973" spans="1:3" ht="15">
      <c r="A973">
        <v>5</v>
      </c>
      <c r="B973" t="str">
        <f>"7213.1"</f>
        <v>7213.1</v>
      </c>
      <c r="C973" t="str">
        <f>"Bate-chapa de veículos automóveis"</f>
        <v>Bate-chapa de veículos automóveis</v>
      </c>
    </row>
    <row r="974" spans="1:3" ht="15">
      <c r="A974">
        <v>5</v>
      </c>
      <c r="B974" t="str">
        <f>"7213.2"</f>
        <v>7213.2</v>
      </c>
      <c r="C974" t="str">
        <f>"Funileiro e caldeireiro "</f>
        <v>Funileiro e caldeireiro </v>
      </c>
    </row>
    <row r="975" spans="1:3" ht="15">
      <c r="A975">
        <v>4</v>
      </c>
      <c r="B975" t="str">
        <f>"7214"</f>
        <v>7214</v>
      </c>
      <c r="C975" t="str">
        <f>"Preparador e montador de estruturas metálicas"</f>
        <v>Preparador e montador de estruturas metálicas</v>
      </c>
    </row>
    <row r="976" spans="1:3" ht="15">
      <c r="A976">
        <v>5</v>
      </c>
      <c r="B976" t="str">
        <f>"7214.1"</f>
        <v>7214.1</v>
      </c>
      <c r="C976" t="str">
        <f>"Serralheiro civil"</f>
        <v>Serralheiro civil</v>
      </c>
    </row>
    <row r="977" spans="1:3" ht="15">
      <c r="A977">
        <v>5</v>
      </c>
      <c r="B977" t="str">
        <f>"7214.2"</f>
        <v>7214.2</v>
      </c>
      <c r="C977" t="str">
        <f>"Outro preparador e montador de estruturas metálicas"</f>
        <v>Outro preparador e montador de estruturas metálicas</v>
      </c>
    </row>
    <row r="978" spans="1:3" ht="15">
      <c r="A978">
        <v>4</v>
      </c>
      <c r="B978" t="str">
        <f>"7215"</f>
        <v>7215</v>
      </c>
      <c r="C978" t="str">
        <f>"Armador e montador de cabos metálicos"</f>
        <v>Armador e montador de cabos metálicos</v>
      </c>
    </row>
    <row r="979" spans="1:3" ht="15">
      <c r="A979">
        <v>5</v>
      </c>
      <c r="B979" t="str">
        <f>"7215.0"</f>
        <v>7215.0</v>
      </c>
      <c r="C979" t="str">
        <f>"Armador e montador de cabos metálicos"</f>
        <v>Armador e montador de cabos metálicos</v>
      </c>
    </row>
    <row r="980" spans="1:3" ht="15">
      <c r="A980">
        <v>3</v>
      </c>
      <c r="B980" t="str">
        <f>"722"</f>
        <v>722</v>
      </c>
      <c r="C980" t="str">
        <f>"Forjadores, serralheiros mecânicos e similares "</f>
        <v>Forjadores, serralheiros mecânicos e similares </v>
      </c>
    </row>
    <row r="981" spans="1:3" ht="15">
      <c r="A981">
        <v>4</v>
      </c>
      <c r="B981" t="str">
        <f>"7221"</f>
        <v>7221</v>
      </c>
      <c r="C981" t="str">
        <f>"Forjadores, ferreiros, operadores de prensas de forjar, estampadores e similares"</f>
        <v>Forjadores, ferreiros, operadores de prensas de forjar, estampadores e similares</v>
      </c>
    </row>
    <row r="982" spans="1:3" ht="15">
      <c r="A982">
        <v>5</v>
      </c>
      <c r="B982" t="str">
        <f>"7221.1"</f>
        <v>7221.1</v>
      </c>
      <c r="C982" t="str">
        <f>"Forjador e ferreiro"</f>
        <v>Forjador e ferreiro</v>
      </c>
    </row>
    <row r="983" spans="1:3" ht="15">
      <c r="A983">
        <v>5</v>
      </c>
      <c r="B983" t="str">
        <f>"7221.2"</f>
        <v>7221.2</v>
      </c>
      <c r="C983" t="str">
        <f>"Operador de prensa de forjar, estampador e similares "</f>
        <v>Operador de prensa de forjar, estampador e similares </v>
      </c>
    </row>
    <row r="984" spans="1:3" ht="15">
      <c r="A984">
        <v>4</v>
      </c>
      <c r="B984" t="str">
        <f>"7222"</f>
        <v>7222</v>
      </c>
      <c r="C984" t="str">
        <f>"Serralheiro de moldes, cunhos, cortantes e similares "</f>
        <v>Serralheiro de moldes, cunhos, cortantes e similares </v>
      </c>
    </row>
    <row r="985" spans="1:3" ht="15">
      <c r="A985">
        <v>5</v>
      </c>
      <c r="B985" t="str">
        <f>"7222.0"</f>
        <v>7222.0</v>
      </c>
      <c r="C985" t="str">
        <f>"Serralheiro de moldes, cunhos, cortantes e similares "</f>
        <v>Serralheiro de moldes, cunhos, cortantes e similares </v>
      </c>
    </row>
    <row r="986" spans="1:3" ht="15">
      <c r="A986">
        <v>4</v>
      </c>
      <c r="B986" t="str">
        <f>"7223"</f>
        <v>7223</v>
      </c>
      <c r="C986" t="str">
        <f>"Reguladores e operadores de máquinas-ferramentas para trabalhar metais"</f>
        <v>Reguladores e operadores de máquinas-ferramentas para trabalhar metais</v>
      </c>
    </row>
    <row r="987" spans="1:3" ht="15">
      <c r="A987">
        <v>5</v>
      </c>
      <c r="B987" t="str">
        <f>"7223.1"</f>
        <v>7223.1</v>
      </c>
      <c r="C987" t="str">
        <f>"Regulador e operador de máquinas-ferramentas convencionais para trabalhar metais "</f>
        <v>Regulador e operador de máquinas-ferramentas convencionais para trabalhar metais </v>
      </c>
    </row>
    <row r="988" spans="1:3" ht="15">
      <c r="A988">
        <v>5</v>
      </c>
      <c r="B988" t="str">
        <f>"7223.2"</f>
        <v>7223.2</v>
      </c>
      <c r="C988" t="str">
        <f>"Regulador e operador de máquinas-ferramentas de comando numérico computorizado para trabalhar metais "</f>
        <v>Regulador e operador de máquinas-ferramentas de comando numérico computorizado para trabalhar metais </v>
      </c>
    </row>
    <row r="989" spans="1:3" ht="15">
      <c r="A989">
        <v>4</v>
      </c>
      <c r="B989" t="str">
        <f>"7224"</f>
        <v>7224</v>
      </c>
      <c r="C989" t="str">
        <f>"Rectificador de rodas, polidor e afiador de metais "</f>
        <v>Rectificador de rodas, polidor e afiador de metais </v>
      </c>
    </row>
    <row r="990" spans="1:3" ht="15">
      <c r="A990">
        <v>5</v>
      </c>
      <c r="B990" t="str">
        <f>"7224.0"</f>
        <v>7224.0</v>
      </c>
      <c r="C990" t="str">
        <f>"Rectificador de rodas, polidor e afiador de metais "</f>
        <v>Rectificador de rodas, polidor e afiador de metais </v>
      </c>
    </row>
    <row r="991" spans="1:3" ht="15">
      <c r="A991">
        <v>3</v>
      </c>
      <c r="B991" t="str">
        <f>"723"</f>
        <v>723</v>
      </c>
      <c r="C991" t="str">
        <f>"Mecânicos e reparadores, de máquinas e de veículos "</f>
        <v>Mecânicos e reparadores, de máquinas e de veículos </v>
      </c>
    </row>
    <row r="992" spans="1:3" ht="15">
      <c r="A992">
        <v>4</v>
      </c>
      <c r="B992" t="str">
        <f>"7231"</f>
        <v>7231</v>
      </c>
      <c r="C992" t="str">
        <f>"Mecânico e reparador de veículos automóveis"</f>
        <v>Mecânico e reparador de veículos automóveis</v>
      </c>
    </row>
    <row r="993" spans="1:3" ht="15">
      <c r="A993">
        <v>5</v>
      </c>
      <c r="B993" t="str">
        <f>"7231.0"</f>
        <v>7231.0</v>
      </c>
      <c r="C993" t="str">
        <f>"Mecânico e reparador de veículos automóveis"</f>
        <v>Mecânico e reparador de veículos automóveis</v>
      </c>
    </row>
    <row r="994" spans="1:3" ht="15">
      <c r="A994">
        <v>4</v>
      </c>
      <c r="B994" t="str">
        <f>"7232"</f>
        <v>7232</v>
      </c>
      <c r="C994" t="str">
        <f>"Técnico de manutenção e reparação de motores de avião "</f>
        <v>Técnico de manutenção e reparação de motores de avião </v>
      </c>
    </row>
    <row r="995" spans="1:3" ht="15">
      <c r="A995">
        <v>5</v>
      </c>
      <c r="B995" t="str">
        <f>"7232.0"</f>
        <v>7232.0</v>
      </c>
      <c r="C995" t="str">
        <f>"Técnico de manutenção e reparação de motores de avião "</f>
        <v>Técnico de manutenção e reparação de motores de avião </v>
      </c>
    </row>
    <row r="996" spans="1:3" ht="15">
      <c r="A996">
        <v>4</v>
      </c>
      <c r="B996" t="str">
        <f>"7233"</f>
        <v>7233</v>
      </c>
      <c r="C996" t="str">
        <f>"Mecânico e reparador, de máquinas agrícolas e industriais "</f>
        <v>Mecânico e reparador, de máquinas agrícolas e industriais </v>
      </c>
    </row>
    <row r="997" spans="1:3" ht="15">
      <c r="A997">
        <v>5</v>
      </c>
      <c r="B997" t="str">
        <f>"7233.0"</f>
        <v>7233.0</v>
      </c>
      <c r="C997" t="str">
        <f>"Mecânico e reparador, de máquinas agrícolas e industriais "</f>
        <v>Mecânico e reparador, de máquinas agrícolas e industriais </v>
      </c>
    </row>
    <row r="998" spans="1:3" ht="15">
      <c r="A998">
        <v>4</v>
      </c>
      <c r="B998" t="str">
        <f>"7234"</f>
        <v>7234</v>
      </c>
      <c r="C998" t="str">
        <f>"Reparador de bicicletas e similares"</f>
        <v>Reparador de bicicletas e similares</v>
      </c>
    </row>
    <row r="999" spans="1:3" ht="15">
      <c r="A999">
        <v>5</v>
      </c>
      <c r="B999" t="str">
        <f>"7234.0"</f>
        <v>7234.0</v>
      </c>
      <c r="C999" t="str">
        <f>"Reparador de bicicletas e similares"</f>
        <v>Reparador de bicicletas e similares</v>
      </c>
    </row>
    <row r="1000" spans="1:3" ht="15">
      <c r="A1000">
        <v>2</v>
      </c>
      <c r="B1000" t="str">
        <f>"73"</f>
        <v>73</v>
      </c>
      <c r="C1000" t="str">
        <f>"Trabalhadores qualificados da impressão, do fabrico de instrumentos de precisão, joalheiros, artesãos e similares"</f>
        <v>Trabalhadores qualificados da impressão, do fabrico de instrumentos de precisão, joalheiros, artesãos e similares</v>
      </c>
    </row>
    <row r="1001" spans="1:3" ht="15">
      <c r="A1001">
        <v>3</v>
      </c>
      <c r="B1001" t="str">
        <f>"731"</f>
        <v>731</v>
      </c>
      <c r="C1001" t="str">
        <f>"Trabalhadores qualificados do fabrico de instrumentos de precisão, joalheiros, artesãos e similares "</f>
        <v>Trabalhadores qualificados do fabrico de instrumentos de precisão, joalheiros, artesãos e similares </v>
      </c>
    </row>
    <row r="1002" spans="1:3" ht="15">
      <c r="A1002">
        <v>4</v>
      </c>
      <c r="B1002" t="str">
        <f>"7311"</f>
        <v>7311</v>
      </c>
      <c r="C1002" t="str">
        <f>"Trabalhador qualificado do fabrico e reparação de instrumentos de precisão"</f>
        <v>Trabalhador qualificado do fabrico e reparação de instrumentos de precisão</v>
      </c>
    </row>
    <row r="1003" spans="1:3" ht="15">
      <c r="A1003">
        <v>5</v>
      </c>
      <c r="B1003" t="str">
        <f>"7311.0"</f>
        <v>7311.0</v>
      </c>
      <c r="C1003" t="str">
        <f>"Trabalhador qualificado do fabrico e reparação de instrumentos de precisão"</f>
        <v>Trabalhador qualificado do fabrico e reparação de instrumentos de precisão</v>
      </c>
    </row>
    <row r="1004" spans="1:3" ht="15">
      <c r="A1004">
        <v>4</v>
      </c>
      <c r="B1004" t="str">
        <f>"7312"</f>
        <v>7312</v>
      </c>
      <c r="C1004" t="str">
        <f>"Trabalhador qualificado do fabrico e afinação de instrumentos musicais"</f>
        <v>Trabalhador qualificado do fabrico e afinação de instrumentos musicais</v>
      </c>
    </row>
    <row r="1005" spans="1:3" ht="15">
      <c r="A1005">
        <v>5</v>
      </c>
      <c r="B1005" t="str">
        <f>"7312.0"</f>
        <v>7312.0</v>
      </c>
      <c r="C1005" t="str">
        <f>"Trabalhador qualificado do fabrico e afinação de instrumentos musicais"</f>
        <v>Trabalhador qualificado do fabrico e afinação de instrumentos musicais</v>
      </c>
    </row>
    <row r="1006" spans="1:3" ht="15">
      <c r="A1006">
        <v>4</v>
      </c>
      <c r="B1006" t="str">
        <f>"7313"</f>
        <v>7313</v>
      </c>
      <c r="C1006" t="str">
        <f>"Joalheiros, ourives e trabalhadores de diamantes industriais"</f>
        <v>Joalheiros, ourives e trabalhadores de diamantes industriais</v>
      </c>
    </row>
    <row r="1007" spans="1:3" ht="15">
      <c r="A1007">
        <v>5</v>
      </c>
      <c r="B1007" t="str">
        <f>"7313.1"</f>
        <v>7313.1</v>
      </c>
      <c r="C1007" t="str">
        <f>"Joalheiro"</f>
        <v>Joalheiro</v>
      </c>
    </row>
    <row r="1008" spans="1:3" ht="15">
      <c r="A1008">
        <v>5</v>
      </c>
      <c r="B1008" t="str">
        <f>"7313.2"</f>
        <v>7313.2</v>
      </c>
      <c r="C1008" t="str">
        <f>"Filigranista"</f>
        <v>Filigranista</v>
      </c>
    </row>
    <row r="1009" spans="1:3" ht="15">
      <c r="A1009">
        <v>5</v>
      </c>
      <c r="B1009" t="str">
        <f>"7313.3"</f>
        <v>7313.3</v>
      </c>
      <c r="C1009" t="str">
        <f>"Outros ourives e trabalhadores de diamantes industriais"</f>
        <v>Outros ourives e trabalhadores de diamantes industriais</v>
      </c>
    </row>
    <row r="1010" spans="1:3" ht="15">
      <c r="A1010">
        <v>4</v>
      </c>
      <c r="B1010" t="str">
        <f>"7314"</f>
        <v>7314</v>
      </c>
      <c r="C1010" t="str">
        <f>"Oleiros e similares "</f>
        <v>Oleiros e similares </v>
      </c>
    </row>
    <row r="1011" spans="1:3" ht="15">
      <c r="A1011">
        <v>5</v>
      </c>
      <c r="B1011" t="str">
        <f>"7314.1"</f>
        <v>7314.1</v>
      </c>
      <c r="C1011" t="str">
        <f>"Oleiro "</f>
        <v>Oleiro </v>
      </c>
    </row>
    <row r="1012" spans="1:3" ht="15">
      <c r="A1012">
        <v>5</v>
      </c>
      <c r="B1012" t="str">
        <f>"7314.2"</f>
        <v>7314.2</v>
      </c>
      <c r="C1012" t="str">
        <f>"Modelador e formista, de cerâmica "</f>
        <v>Modelador e formista, de cerâmica </v>
      </c>
    </row>
    <row r="1013" spans="1:3" ht="15">
      <c r="A1013">
        <v>5</v>
      </c>
      <c r="B1013" t="str">
        <f>"7314.3"</f>
        <v>7314.3</v>
      </c>
      <c r="C1013" t="str">
        <f>"Outros oleiros e similares "</f>
        <v>Outros oleiros e similares </v>
      </c>
    </row>
    <row r="1014" spans="1:3" ht="15">
      <c r="A1014">
        <v>4</v>
      </c>
      <c r="B1014" t="str">
        <f>"7315"</f>
        <v>7315</v>
      </c>
      <c r="C1014" t="str">
        <f>"Sopradores, cortadores, polidores e acabadores, de vidro "</f>
        <v>Sopradores, cortadores, polidores e acabadores, de vidro </v>
      </c>
    </row>
    <row r="1015" spans="1:3" ht="15">
      <c r="A1015">
        <v>5</v>
      </c>
      <c r="B1015" t="str">
        <f>"7315.1"</f>
        <v>7315.1</v>
      </c>
      <c r="C1015" t="str">
        <f>"Soprador de artigos de vidro"</f>
        <v>Soprador de artigos de vidro</v>
      </c>
    </row>
    <row r="1016" spans="1:3" ht="15">
      <c r="A1016">
        <v>5</v>
      </c>
      <c r="B1016" t="str">
        <f>"7315.2"</f>
        <v>7315.2</v>
      </c>
      <c r="C1016" t="str">
        <f>"Cortador de vidro"</f>
        <v>Cortador de vidro</v>
      </c>
    </row>
    <row r="1017" spans="1:3" ht="15">
      <c r="A1017">
        <v>5</v>
      </c>
      <c r="B1017" t="str">
        <f>"7315.3"</f>
        <v>7315.3</v>
      </c>
      <c r="C1017" t="str">
        <f>"Polidor e acabador de artigos de vidro"</f>
        <v>Polidor e acabador de artigos de vidro</v>
      </c>
    </row>
    <row r="1018" spans="1:3" ht="15">
      <c r="A1018">
        <v>4</v>
      </c>
      <c r="B1018" t="str">
        <f>"7316"</f>
        <v>7316</v>
      </c>
      <c r="C1018" t="str">
        <f>"Lapidadores, gravadores e pintores-decoradores, de vidro, cerâmica e outros materiais "</f>
        <v>Lapidadores, gravadores e pintores-decoradores, de vidro, cerâmica e outros materiais </v>
      </c>
    </row>
    <row r="1019" spans="1:3" ht="15">
      <c r="A1019">
        <v>5</v>
      </c>
      <c r="B1019" t="str">
        <f>"7316.1"</f>
        <v>7316.1</v>
      </c>
      <c r="C1019" t="str">
        <f>"Lapidador e gravador, de vidro, cerâmica e outros materiais"</f>
        <v>Lapidador e gravador, de vidro, cerâmica e outros materiais</v>
      </c>
    </row>
    <row r="1020" spans="1:3" ht="15">
      <c r="A1020">
        <v>5</v>
      </c>
      <c r="B1020" t="str">
        <f>"7316.2"</f>
        <v>7316.2</v>
      </c>
      <c r="C1020" t="str">
        <f>"Pintor-decorador de vidro, cerâmica e outros materiais"</f>
        <v>Pintor-decorador de vidro, cerâmica e outros materiais</v>
      </c>
    </row>
    <row r="1021" spans="1:3" ht="15">
      <c r="A1021">
        <v>4</v>
      </c>
      <c r="B1021" t="str">
        <f>"7317"</f>
        <v>7317</v>
      </c>
      <c r="C1021" t="str">
        <f>"Artesãos de artigos em madeira, cestaria e materiais similares                                                                                                                                                                                                 "</f>
        <v>Artesãos de artigos em madeira, cestaria e materiais similares                                                                                                                                                                                                 </v>
      </c>
    </row>
    <row r="1022" spans="1:3" ht="15">
      <c r="A1022">
        <v>5</v>
      </c>
      <c r="B1022" t="str">
        <f>"7317.1"</f>
        <v>7317.1</v>
      </c>
      <c r="C1022" t="str">
        <f>"Artesão de artigos em madeira"</f>
        <v>Artesão de artigos em madeira</v>
      </c>
    </row>
    <row r="1023" spans="1:3" ht="15">
      <c r="A1023">
        <v>5</v>
      </c>
      <c r="B1023" t="str">
        <f>"7317.2"</f>
        <v>7317.2</v>
      </c>
      <c r="C1023" t="str">
        <f>"Artesão de cestaria e artigos similares"</f>
        <v>Artesão de cestaria e artigos similares</v>
      </c>
    </row>
    <row r="1024" spans="1:3" ht="15">
      <c r="A1024">
        <v>4</v>
      </c>
      <c r="B1024" t="str">
        <f>"7318"</f>
        <v>7318</v>
      </c>
      <c r="C1024" t="str">
        <f>"Trabalhadores manuais de artigos têxteis, couro e materiais similares "</f>
        <v>Trabalhadores manuais de artigos têxteis, couro e materiais similares </v>
      </c>
    </row>
    <row r="1025" spans="1:3" ht="15">
      <c r="A1025">
        <v>5</v>
      </c>
      <c r="B1025" t="str">
        <f>"7318.1"</f>
        <v>7318.1</v>
      </c>
      <c r="C1025" t="str">
        <f>"Artesão de rendas, bordados e tapeçarias, manuais "</f>
        <v>Artesão de rendas, bordados e tapeçarias, manuais </v>
      </c>
    </row>
    <row r="1026" spans="1:3" ht="15">
      <c r="A1026">
        <v>5</v>
      </c>
      <c r="B1026" t="str">
        <f>"7318.2"</f>
        <v>7318.2</v>
      </c>
      <c r="C1026" t="str">
        <f>"Artesão de artigos de couro"</f>
        <v>Artesão de artigos de couro</v>
      </c>
    </row>
    <row r="1027" spans="1:3" ht="15">
      <c r="A1027">
        <v>5</v>
      </c>
      <c r="B1027" t="str">
        <f>"7318.3"</f>
        <v>7318.3</v>
      </c>
      <c r="C1027" t="str">
        <f>"Outros trabalhadores manuais de artigos têxteis, couro e materiais similares"</f>
        <v>Outros trabalhadores manuais de artigos têxteis, couro e materiais similares</v>
      </c>
    </row>
    <row r="1028" spans="1:3" ht="15">
      <c r="A1028">
        <v>4</v>
      </c>
      <c r="B1028" t="str">
        <f>"7319"</f>
        <v>7319</v>
      </c>
      <c r="C1028" t="str">
        <f>"Outros trabalhadores qualificados do fabrico de instrumentos de precisão, artesãos e similares"</f>
        <v>Outros trabalhadores qualificados do fabrico de instrumentos de precisão, artesãos e similares</v>
      </c>
    </row>
    <row r="1029" spans="1:3" ht="15">
      <c r="A1029">
        <v>5</v>
      </c>
      <c r="B1029" t="str">
        <f>"7319.0"</f>
        <v>7319.0</v>
      </c>
      <c r="C1029" t="str">
        <f>"Outros trabalhadores qualificados do fabrico de instrumentos de precisão, artesãos e similares"</f>
        <v>Outros trabalhadores qualificados do fabrico de instrumentos de precisão, artesãos e similares</v>
      </c>
    </row>
    <row r="1030" spans="1:3" ht="15">
      <c r="A1030">
        <v>3</v>
      </c>
      <c r="B1030" t="str">
        <f>"732"</f>
        <v>732</v>
      </c>
      <c r="C1030" t="str">
        <f>"Trabalhadores da impressão "</f>
        <v>Trabalhadores da impressão </v>
      </c>
    </row>
    <row r="1031" spans="1:3" ht="15">
      <c r="A1031">
        <v>4</v>
      </c>
      <c r="B1031" t="str">
        <f>"7321"</f>
        <v>7321</v>
      </c>
      <c r="C1031" t="str">
        <f>"Operador de pré-impressão"</f>
        <v>Operador de pré-impressão</v>
      </c>
    </row>
    <row r="1032" spans="1:3" ht="15">
      <c r="A1032">
        <v>5</v>
      </c>
      <c r="B1032" t="str">
        <f>"7321.0"</f>
        <v>7321.0</v>
      </c>
      <c r="C1032" t="str">
        <f>"Operador de pré-impressão"</f>
        <v>Operador de pré-impressão</v>
      </c>
    </row>
    <row r="1033" spans="1:3" ht="15">
      <c r="A1033">
        <v>4</v>
      </c>
      <c r="B1033" t="str">
        <f>"7322"</f>
        <v>7322</v>
      </c>
      <c r="C1033" t="str">
        <f>"Serígrafo e outros operadores de impressão"</f>
        <v>Serígrafo e outros operadores de impressão</v>
      </c>
    </row>
    <row r="1034" spans="1:3" ht="15">
      <c r="A1034">
        <v>5</v>
      </c>
      <c r="B1034" t="str">
        <f>"7322.1"</f>
        <v>7322.1</v>
      </c>
      <c r="C1034" t="str">
        <f>"Serígrafo e similar"</f>
        <v>Serígrafo e similar</v>
      </c>
    </row>
    <row r="1035" spans="1:3" ht="15">
      <c r="A1035">
        <v>5</v>
      </c>
      <c r="B1035" t="str">
        <f>"7322.2"</f>
        <v>7322.2</v>
      </c>
      <c r="C1035" t="str">
        <f>"Outros operadores de impressão"</f>
        <v>Outros operadores de impressão</v>
      </c>
    </row>
    <row r="1036" spans="1:3" ht="15">
      <c r="A1036">
        <v>4</v>
      </c>
      <c r="B1036" t="str">
        <f>"7323"</f>
        <v>7323</v>
      </c>
      <c r="C1036" t="str">
        <f>"Encadernadores e similares"</f>
        <v>Encadernadores e similares</v>
      </c>
    </row>
    <row r="1037" spans="1:3" ht="15">
      <c r="A1037">
        <v>5</v>
      </c>
      <c r="B1037" t="str">
        <f>"7323.1"</f>
        <v>7323.1</v>
      </c>
      <c r="C1037" t="str">
        <f>"Encadernador "</f>
        <v>Encadernador </v>
      </c>
    </row>
    <row r="1038" spans="1:3" ht="15">
      <c r="A1038">
        <v>5</v>
      </c>
      <c r="B1038" t="str">
        <f>"7323.2"</f>
        <v>7323.2</v>
      </c>
      <c r="C1038" t="str">
        <f>"Outros trabalhadores relacionados com o acabamento da impressão"</f>
        <v>Outros trabalhadores relacionados com o acabamento da impressão</v>
      </c>
    </row>
    <row r="1039" spans="1:3" ht="15">
      <c r="A1039">
        <v>2</v>
      </c>
      <c r="B1039" t="str">
        <f>"74"</f>
        <v>74</v>
      </c>
      <c r="C1039" t="str">
        <f>"Trabalhadores qualificados em electricidade e em electrónica"</f>
        <v>Trabalhadores qualificados em electricidade e em electrónica</v>
      </c>
    </row>
    <row r="1040" spans="1:3" ht="15">
      <c r="A1040">
        <v>3</v>
      </c>
      <c r="B1040" t="str">
        <f>"741"</f>
        <v>741</v>
      </c>
      <c r="C1040" t="str">
        <f>"Instaladores e reparadores de equipamento eléctrico"</f>
        <v>Instaladores e reparadores de equipamento eléctrico</v>
      </c>
    </row>
    <row r="1041" spans="1:3" ht="15">
      <c r="A1041">
        <v>4</v>
      </c>
      <c r="B1041" t="str">
        <f>"7411"</f>
        <v>7411</v>
      </c>
      <c r="C1041" t="str">
        <f>"Electricista de construções e similares "</f>
        <v>Electricista de construções e similares </v>
      </c>
    </row>
    <row r="1042" spans="1:3" ht="15">
      <c r="A1042">
        <v>5</v>
      </c>
      <c r="B1042" t="str">
        <f>"7411.0"</f>
        <v>7411.0</v>
      </c>
      <c r="C1042" t="str">
        <f>"Electricista de construções e similares "</f>
        <v>Electricista de construções e similares </v>
      </c>
    </row>
    <row r="1043" spans="1:3" ht="15">
      <c r="A1043">
        <v>4</v>
      </c>
      <c r="B1043" t="str">
        <f>"7412"</f>
        <v>7412</v>
      </c>
      <c r="C1043" t="str">
        <f>"Electromecânico, electricista e instalador de máquinas e equipamentos eléctricos "</f>
        <v>Electromecânico, electricista e instalador de máquinas e equipamentos eléctricos </v>
      </c>
    </row>
    <row r="1044" spans="1:3" ht="15">
      <c r="A1044">
        <v>5</v>
      </c>
      <c r="B1044" t="str">
        <f>"7412.1"</f>
        <v>7412.1</v>
      </c>
      <c r="C1044" t="str">
        <f>"Instalador de sistemas solares térmicos "</f>
        <v>Instalador de sistemas solares térmicos </v>
      </c>
    </row>
    <row r="1045" spans="1:3" ht="15">
      <c r="A1045">
        <v>5</v>
      </c>
      <c r="B1045" t="str">
        <f>"7412.2"</f>
        <v>7412.2</v>
      </c>
      <c r="C1045" t="str">
        <f>"Instalador de sistemas solares fotovoltaicos "</f>
        <v>Instalador de sistemas solares fotovoltaicos </v>
      </c>
    </row>
    <row r="1046" spans="1:3" ht="15">
      <c r="A1046">
        <v>5</v>
      </c>
      <c r="B1046" t="str">
        <f>"7412.3"</f>
        <v>7412.3</v>
      </c>
      <c r="C1046" t="str">
        <f>"Instalador de sistemas de bioenergia"</f>
        <v>Instalador de sistemas de bioenergia</v>
      </c>
    </row>
    <row r="1047" spans="1:3" ht="15">
      <c r="A1047">
        <v>5</v>
      </c>
      <c r="B1047" t="str">
        <f>"7412.4"</f>
        <v>7412.4</v>
      </c>
      <c r="C1047" t="str">
        <f>"Electromecânico, electricista e outros instaladores de máquinas e equipamentos eléctricos "</f>
        <v>Electromecânico, electricista e outros instaladores de máquinas e equipamentos eléctricos </v>
      </c>
    </row>
    <row r="1048" spans="1:3" ht="15">
      <c r="A1048">
        <v>4</v>
      </c>
      <c r="B1048" t="str">
        <f>"7413"</f>
        <v>7413</v>
      </c>
      <c r="C1048" t="str">
        <f>"Instalador e reparador de linhas eléctricas"</f>
        <v>Instalador e reparador de linhas eléctricas</v>
      </c>
    </row>
    <row r="1049" spans="1:3" ht="15">
      <c r="A1049">
        <v>5</v>
      </c>
      <c r="B1049" t="str">
        <f>"7413.0"</f>
        <v>7413.0</v>
      </c>
      <c r="C1049" t="str">
        <f>"Instalador e reparador de linhas eléctricas"</f>
        <v>Instalador e reparador de linhas eléctricas</v>
      </c>
    </row>
    <row r="1050" spans="1:3" ht="15">
      <c r="A1050">
        <v>3</v>
      </c>
      <c r="B1050" t="str">
        <f>"742"</f>
        <v>742</v>
      </c>
      <c r="C1050" t="str">
        <f>"Instaladores e reparadores, de equipamentos electrónicos e de telecomunicações"</f>
        <v>Instaladores e reparadores, de equipamentos electrónicos e de telecomunicações</v>
      </c>
    </row>
    <row r="1051" spans="1:3" ht="15">
      <c r="A1051">
        <v>4</v>
      </c>
      <c r="B1051" t="str">
        <f>"7421"</f>
        <v>7421</v>
      </c>
      <c r="C1051" t="str">
        <f>"Mecânico e reparador de equipamentos electrónicos "</f>
        <v>Mecânico e reparador de equipamentos electrónicos </v>
      </c>
    </row>
    <row r="1052" spans="1:3" ht="15">
      <c r="A1052">
        <v>5</v>
      </c>
      <c r="B1052" t="str">
        <f>"7421.0"</f>
        <v>7421.0</v>
      </c>
      <c r="C1052" t="str">
        <f>"Mecânico e reparador de equipamentos electrónicos "</f>
        <v>Mecânico e reparador de equipamentos electrónicos </v>
      </c>
    </row>
    <row r="1053" spans="1:3" ht="15">
      <c r="A1053">
        <v>4</v>
      </c>
      <c r="B1053" t="str">
        <f>"7422"</f>
        <v>7422</v>
      </c>
      <c r="C1053" t="str">
        <f>"Instalador e reparador, de tecnologias de informação e comunicação  "</f>
        <v>Instalador e reparador, de tecnologias de informação e comunicação  </v>
      </c>
    </row>
    <row r="1054" spans="1:3" ht="15">
      <c r="A1054">
        <v>5</v>
      </c>
      <c r="B1054" t="str">
        <f>"7422.0"</f>
        <v>7422.0</v>
      </c>
      <c r="C1054" t="str">
        <f>"Instalador e reparador, de tecnologias de informação e comunicação  "</f>
        <v>Instalador e reparador, de tecnologias de informação e comunicação  </v>
      </c>
    </row>
    <row r="1055" spans="1:3" ht="15">
      <c r="A1055">
        <v>2</v>
      </c>
      <c r="B1055" t="str">
        <f>"75"</f>
        <v>75</v>
      </c>
      <c r="C1055" t="str">
        <f>"Trabalhadores da transformação de alimentos, da madeira, do vestuário e outras indústrias e artesanato "</f>
        <v>Trabalhadores da transformação de alimentos, da madeira, do vestuário e outras indústrias e artesanato </v>
      </c>
    </row>
    <row r="1056" spans="1:3" ht="15">
      <c r="A1056">
        <v>3</v>
      </c>
      <c r="B1056" t="str">
        <f>"751"</f>
        <v>751</v>
      </c>
      <c r="C1056" t="str">
        <f>"Trabalhadores qualificados da transformação de alimentos "</f>
        <v>Trabalhadores qualificados da transformação de alimentos </v>
      </c>
    </row>
    <row r="1057" spans="1:3" ht="15">
      <c r="A1057">
        <v>4</v>
      </c>
      <c r="B1057" t="str">
        <f>"7511"</f>
        <v>7511</v>
      </c>
      <c r="C1057" t="str">
        <f>"Preparadores de carne, peixe e similares"</f>
        <v>Preparadores de carne, peixe e similares</v>
      </c>
    </row>
    <row r="1058" spans="1:3" ht="15">
      <c r="A1058">
        <v>5</v>
      </c>
      <c r="B1058" t="str">
        <f>"7511.1"</f>
        <v>7511.1</v>
      </c>
      <c r="C1058" t="str">
        <f>"Matador de animais"</f>
        <v>Matador de animais</v>
      </c>
    </row>
    <row r="1059" spans="1:3" ht="15">
      <c r="A1059">
        <v>5</v>
      </c>
      <c r="B1059" t="str">
        <f>"7511.2"</f>
        <v>7511.2</v>
      </c>
      <c r="C1059" t="str">
        <f>"Cortador de carne"</f>
        <v>Cortador de carne</v>
      </c>
    </row>
    <row r="1060" spans="1:3" ht="15">
      <c r="A1060">
        <v>5</v>
      </c>
      <c r="B1060" t="str">
        <f>"7511.3"</f>
        <v>7511.3</v>
      </c>
      <c r="C1060" t="str">
        <f>"Salsicheiro"</f>
        <v>Salsicheiro</v>
      </c>
    </row>
    <row r="1061" spans="1:3" ht="15">
      <c r="A1061">
        <v>5</v>
      </c>
      <c r="B1061" t="str">
        <f>"7511.4"</f>
        <v>7511.4</v>
      </c>
      <c r="C1061" t="str">
        <f>"Preparador e conservador de peixe"</f>
        <v>Preparador e conservador de peixe</v>
      </c>
    </row>
    <row r="1062" spans="1:3" ht="15">
      <c r="A1062">
        <v>5</v>
      </c>
      <c r="B1062" t="str">
        <f>"7511.5"</f>
        <v>7511.5</v>
      </c>
      <c r="C1062" t="str">
        <f>"Outros preparadores de carne, peixe e similares"</f>
        <v>Outros preparadores de carne, peixe e similares</v>
      </c>
    </row>
    <row r="1063" spans="1:3" ht="15">
      <c r="A1063">
        <v>4</v>
      </c>
      <c r="B1063" t="str">
        <f>"7512"</f>
        <v>7512</v>
      </c>
      <c r="C1063" t="str">
        <f>"Padeiros, pasteleiros e confeiteiros"</f>
        <v>Padeiros, pasteleiros e confeiteiros</v>
      </c>
    </row>
    <row r="1064" spans="1:3" ht="15">
      <c r="A1064">
        <v>5</v>
      </c>
      <c r="B1064" t="str">
        <f>"7512.1"</f>
        <v>7512.1</v>
      </c>
      <c r="C1064" t="str">
        <f>"Padeiro"</f>
        <v>Padeiro</v>
      </c>
    </row>
    <row r="1065" spans="1:3" ht="15">
      <c r="A1065">
        <v>5</v>
      </c>
      <c r="B1065" t="str">
        <f>"7512.2"</f>
        <v>7512.2</v>
      </c>
      <c r="C1065" t="str">
        <f>"Pasteleiro "</f>
        <v>Pasteleiro </v>
      </c>
    </row>
    <row r="1066" spans="1:3" ht="15">
      <c r="A1066">
        <v>5</v>
      </c>
      <c r="B1066" t="str">
        <f>"7512.3"</f>
        <v>7512.3</v>
      </c>
      <c r="C1066" t="str">
        <f>"Confeiteiro "</f>
        <v>Confeiteiro </v>
      </c>
    </row>
    <row r="1067" spans="1:3" ht="15">
      <c r="A1067">
        <v>4</v>
      </c>
      <c r="B1067" t="str">
        <f>"7513"</f>
        <v>7513</v>
      </c>
      <c r="C1067" t="str">
        <f>"Trabalhador do fabrico de produtos lácteos "</f>
        <v>Trabalhador do fabrico de produtos lácteos </v>
      </c>
    </row>
    <row r="1068" spans="1:3" ht="15">
      <c r="A1068">
        <v>5</v>
      </c>
      <c r="B1068" t="str">
        <f>"7513.0"</f>
        <v>7513.0</v>
      </c>
      <c r="C1068" t="str">
        <f>"Trabalhador do fabrico de produtos lácteos "</f>
        <v>Trabalhador do fabrico de produtos lácteos </v>
      </c>
    </row>
    <row r="1069" spans="1:3" ht="15">
      <c r="A1069">
        <v>4</v>
      </c>
      <c r="B1069" t="str">
        <f>"7514"</f>
        <v>7514</v>
      </c>
      <c r="C1069" t="str">
        <f>"Conserveiro de frutas, legumes e similares"</f>
        <v>Conserveiro de frutas, legumes e similares</v>
      </c>
    </row>
    <row r="1070" spans="1:3" ht="15">
      <c r="A1070">
        <v>5</v>
      </c>
      <c r="B1070" t="str">
        <f>"7514.0"</f>
        <v>7514.0</v>
      </c>
      <c r="C1070" t="str">
        <f>"Conserveiro de frutas, legumes e similares"</f>
        <v>Conserveiro de frutas, legumes e similares</v>
      </c>
    </row>
    <row r="1071" spans="1:3" ht="15">
      <c r="A1071">
        <v>4</v>
      </c>
      <c r="B1071" t="str">
        <f>"7515"</f>
        <v>7515</v>
      </c>
      <c r="C1071" t="str">
        <f>"Provadores e classificadores, de alimentos e bebidas"</f>
        <v>Provadores e classificadores, de alimentos e bebidas</v>
      </c>
    </row>
    <row r="1072" spans="1:3" ht="15">
      <c r="A1072">
        <v>5</v>
      </c>
      <c r="B1072" t="str">
        <f>"7515.0"</f>
        <v>7515.0</v>
      </c>
      <c r="C1072" t="str">
        <f>"Provadores e classificadores, de alimentos e bebidas"</f>
        <v>Provadores e classificadores, de alimentos e bebidas</v>
      </c>
    </row>
    <row r="1073" spans="1:3" ht="15">
      <c r="A1073">
        <v>4</v>
      </c>
      <c r="B1073" t="str">
        <f>"7516"</f>
        <v>7516</v>
      </c>
      <c r="C1073" t="str">
        <f>"Preparador e transformador, de tabaco e seus produtos "</f>
        <v>Preparador e transformador, de tabaco e seus produtos </v>
      </c>
    </row>
    <row r="1074" spans="1:3" ht="15">
      <c r="A1074">
        <v>5</v>
      </c>
      <c r="B1074" t="str">
        <f>"7516.0"</f>
        <v>7516.0</v>
      </c>
      <c r="C1074" t="str">
        <f>"Preparador e transformador, de tabaco e seus produtos "</f>
        <v>Preparador e transformador, de tabaco e seus produtos </v>
      </c>
    </row>
    <row r="1075" spans="1:3" ht="15">
      <c r="A1075">
        <v>3</v>
      </c>
      <c r="B1075" t="str">
        <f>"752"</f>
        <v>752</v>
      </c>
      <c r="C1075" t="str">
        <f>"Trabalhadores do tratamento da madeira e cortiça, marceneiros e similares"</f>
        <v>Trabalhadores do tratamento da madeira e cortiça, marceneiros e similares</v>
      </c>
    </row>
    <row r="1076" spans="1:3" ht="15">
      <c r="A1076">
        <v>4</v>
      </c>
      <c r="B1076" t="str">
        <f>"7521"</f>
        <v>7521</v>
      </c>
      <c r="C1076" t="str">
        <f>"Trabalhadores do tratamento da madeira e cortiça"</f>
        <v>Trabalhadores do tratamento da madeira e cortiça</v>
      </c>
    </row>
    <row r="1077" spans="1:3" ht="15">
      <c r="A1077">
        <v>5</v>
      </c>
      <c r="B1077" t="str">
        <f>"7521.1"</f>
        <v>7521.1</v>
      </c>
      <c r="C1077" t="str">
        <f>"Trabalhador do tratamento da madeira "</f>
        <v>Trabalhador do tratamento da madeira </v>
      </c>
    </row>
    <row r="1078" spans="1:3" ht="15">
      <c r="A1078">
        <v>5</v>
      </c>
      <c r="B1078" t="str">
        <f>"7521.2"</f>
        <v>7521.2</v>
      </c>
      <c r="C1078" t="str">
        <f>"Trabalhador do tratamento da cortiça"</f>
        <v>Trabalhador do tratamento da cortiça</v>
      </c>
    </row>
    <row r="1079" spans="1:3" ht="15">
      <c r="A1079">
        <v>4</v>
      </c>
      <c r="B1079" t="str">
        <f>"7522"</f>
        <v>7522</v>
      </c>
      <c r="C1079" t="str">
        <f>"Marceneiros e similares "</f>
        <v>Marceneiros e similares </v>
      </c>
    </row>
    <row r="1080" spans="1:3" ht="15">
      <c r="A1080">
        <v>5</v>
      </c>
      <c r="B1080" t="str">
        <f>"7522.1"</f>
        <v>7522.1</v>
      </c>
      <c r="C1080" t="str">
        <f>"Marceneiro"</f>
        <v>Marceneiro</v>
      </c>
    </row>
    <row r="1081" spans="1:3" ht="15">
      <c r="A1081">
        <v>5</v>
      </c>
      <c r="B1081" t="str">
        <f>"7522.2"</f>
        <v>7522.2</v>
      </c>
      <c r="C1081" t="str">
        <f>"Tanoeiro, embutidor e outros similares a marceneiro "</f>
        <v>Tanoeiro, embutidor e outros similares a marceneiro </v>
      </c>
    </row>
    <row r="1082" spans="1:3" ht="15">
      <c r="A1082">
        <v>4</v>
      </c>
      <c r="B1082" t="str">
        <f>"7523"</f>
        <v>7523</v>
      </c>
      <c r="C1082" t="str">
        <f>"Operador de máquinas e de equipamentos para trabalhar madeira e cortiça"</f>
        <v>Operador de máquinas e de equipamentos para trabalhar madeira e cortiça</v>
      </c>
    </row>
    <row r="1083" spans="1:3" ht="15">
      <c r="A1083">
        <v>5</v>
      </c>
      <c r="B1083" t="str">
        <f>"7523.1"</f>
        <v>7523.1</v>
      </c>
      <c r="C1083" t="str">
        <f>"Operador de máquinas e de equipamentos para trabalhar madeira"</f>
        <v>Operador de máquinas e de equipamentos para trabalhar madeira</v>
      </c>
    </row>
    <row r="1084" spans="1:3" ht="15">
      <c r="A1084">
        <v>5</v>
      </c>
      <c r="B1084" t="str">
        <f>"7523.2"</f>
        <v>7523.2</v>
      </c>
      <c r="C1084" t="str">
        <f>"Operador de máquinas e de equipamentos para trabalhar  cortiça"</f>
        <v>Operador de máquinas e de equipamentos para trabalhar  cortiça</v>
      </c>
    </row>
    <row r="1085" spans="1:3" ht="15">
      <c r="A1085">
        <v>3</v>
      </c>
      <c r="B1085" t="str">
        <f>"753"</f>
        <v>753</v>
      </c>
      <c r="C1085" t="str">
        <f>"Trabalhadores da confecção de vestuário, curtidores de peles, sapateiros e similares"</f>
        <v>Trabalhadores da confecção de vestuário, curtidores de peles, sapateiros e similares</v>
      </c>
    </row>
    <row r="1086" spans="1:3" ht="15">
      <c r="A1086">
        <v>4</v>
      </c>
      <c r="B1086" t="str">
        <f>"7531"</f>
        <v>7531</v>
      </c>
      <c r="C1086" t="str">
        <f>"Alfaiates, costureiros, peleiros e chapeleiros   "</f>
        <v>Alfaiates, costureiros, peleiros e chapeleiros   </v>
      </c>
    </row>
    <row r="1087" spans="1:3" ht="15">
      <c r="A1087">
        <v>5</v>
      </c>
      <c r="B1087" t="str">
        <f>"7531.1"</f>
        <v>7531.1</v>
      </c>
      <c r="C1087" t="str">
        <f>"Alfaiate e costureiro "</f>
        <v>Alfaiate e costureiro </v>
      </c>
    </row>
    <row r="1088" spans="1:3" ht="15">
      <c r="A1088">
        <v>5</v>
      </c>
      <c r="B1088" t="str">
        <f>"7531.2"</f>
        <v>7531.2</v>
      </c>
      <c r="C1088" t="str">
        <f>"Peleiro"</f>
        <v>Peleiro</v>
      </c>
    </row>
    <row r="1089" spans="1:3" ht="15">
      <c r="A1089">
        <v>5</v>
      </c>
      <c r="B1089" t="str">
        <f>"7531.3"</f>
        <v>7531.3</v>
      </c>
      <c r="C1089" t="str">
        <f>"Chapeleiro "</f>
        <v>Chapeleiro </v>
      </c>
    </row>
    <row r="1090" spans="1:3" ht="15">
      <c r="A1090">
        <v>4</v>
      </c>
      <c r="B1090" t="str">
        <f>"7532"</f>
        <v>7532</v>
      </c>
      <c r="C1090" t="str">
        <f>"Riscador de moldes e cortadores, de tecido, couro e similares "</f>
        <v>Riscador de moldes e cortadores, de tecido, couro e similares </v>
      </c>
    </row>
    <row r="1091" spans="1:3" ht="15">
      <c r="A1091">
        <v>5</v>
      </c>
      <c r="B1091" t="str">
        <f>"7532.1"</f>
        <v>7532.1</v>
      </c>
      <c r="C1091" t="str">
        <f>"Riscador de moldes e cortador de tecidos"</f>
        <v>Riscador de moldes e cortador de tecidos</v>
      </c>
    </row>
    <row r="1092" spans="1:3" ht="15">
      <c r="A1092">
        <v>5</v>
      </c>
      <c r="B1092" t="str">
        <f>"7532.2"</f>
        <v>7532.2</v>
      </c>
      <c r="C1092" t="str">
        <f>"Riscador de moldes e cortador, de couros e similares"</f>
        <v>Riscador de moldes e cortador, de couros e similares</v>
      </c>
    </row>
    <row r="1093" spans="1:3" ht="15">
      <c r="A1093">
        <v>4</v>
      </c>
      <c r="B1093" t="str">
        <f>"7533"</f>
        <v>7533</v>
      </c>
      <c r="C1093" t="str">
        <f>"Trabalhadores de costura, bordados e similares "</f>
        <v>Trabalhadores de costura, bordados e similares </v>
      </c>
    </row>
    <row r="1094" spans="1:3" ht="15">
      <c r="A1094">
        <v>5</v>
      </c>
      <c r="B1094" t="str">
        <f>"7533.1"</f>
        <v>7533.1</v>
      </c>
      <c r="C1094" t="str">
        <f>"Bordador"</f>
        <v>Bordador</v>
      </c>
    </row>
    <row r="1095" spans="1:3" ht="15">
      <c r="A1095">
        <v>5</v>
      </c>
      <c r="B1095" t="str">
        <f>"7533.2"</f>
        <v>7533.2</v>
      </c>
      <c r="C1095" t="str">
        <f>"Trabalhador de costura e similares "</f>
        <v>Trabalhador de costura e similares </v>
      </c>
    </row>
    <row r="1096" spans="1:3" ht="15">
      <c r="A1096">
        <v>4</v>
      </c>
      <c r="B1096" t="str">
        <f>"7534"</f>
        <v>7534</v>
      </c>
      <c r="C1096" t="str">
        <f>"Estofadores e similares"</f>
        <v>Estofadores e similares</v>
      </c>
    </row>
    <row r="1097" spans="1:3" ht="15">
      <c r="A1097">
        <v>5</v>
      </c>
      <c r="B1097" t="str">
        <f>"7534.1"</f>
        <v>7534.1</v>
      </c>
      <c r="C1097" t="str">
        <f>"Estofador"</f>
        <v>Estofador</v>
      </c>
    </row>
    <row r="1098" spans="1:3" ht="15">
      <c r="A1098">
        <v>5</v>
      </c>
      <c r="B1098" t="str">
        <f>"7534.2"</f>
        <v>7534.2</v>
      </c>
      <c r="C1098" t="str">
        <f>"Colchoeiro"</f>
        <v>Colchoeiro</v>
      </c>
    </row>
    <row r="1099" spans="1:3" ht="15">
      <c r="A1099">
        <v>5</v>
      </c>
      <c r="B1099" t="str">
        <f>"7534.3"</f>
        <v>7534.3</v>
      </c>
      <c r="C1099" t="str">
        <f>"Outros trabalhadores similares a estofador"</f>
        <v>Outros trabalhadores similares a estofador</v>
      </c>
    </row>
    <row r="1100" spans="1:3" ht="15">
      <c r="A1100">
        <v>4</v>
      </c>
      <c r="B1100" t="str">
        <f>"7535"</f>
        <v>7535</v>
      </c>
      <c r="C1100" t="str">
        <f>"Curtidores, preparadores e acabadores, de peles "</f>
        <v>Curtidores, preparadores e acabadores, de peles </v>
      </c>
    </row>
    <row r="1101" spans="1:3" ht="15">
      <c r="A1101">
        <v>5</v>
      </c>
      <c r="B1101" t="str">
        <f>"7535.1"</f>
        <v>7535.1</v>
      </c>
      <c r="C1101" t="str">
        <f>"Curtidor de peles"</f>
        <v>Curtidor de peles</v>
      </c>
    </row>
    <row r="1102" spans="1:3" ht="15">
      <c r="A1102">
        <v>5</v>
      </c>
      <c r="B1102" t="str">
        <f>"7535.2"</f>
        <v>7535.2</v>
      </c>
      <c r="C1102" t="str">
        <f>"Preparador e acabador de peles"</f>
        <v>Preparador e acabador de peles</v>
      </c>
    </row>
    <row r="1103" spans="1:3" ht="15">
      <c r="A1103">
        <v>4</v>
      </c>
      <c r="B1103" t="str">
        <f>"7536"</f>
        <v>7536</v>
      </c>
      <c r="C1103" t="str">
        <f>"Sapateiros e similares"</f>
        <v>Sapateiros e similares</v>
      </c>
    </row>
    <row r="1104" spans="1:3" ht="15">
      <c r="A1104">
        <v>5</v>
      </c>
      <c r="B1104" t="str">
        <f>"7536.1"</f>
        <v>7536.1</v>
      </c>
      <c r="C1104" t="str">
        <f>"Sapateiro"</f>
        <v>Sapateiro</v>
      </c>
    </row>
    <row r="1105" spans="1:3" ht="15">
      <c r="A1105">
        <v>5</v>
      </c>
      <c r="B1105" t="str">
        <f>"7536.2"</f>
        <v>7536.2</v>
      </c>
      <c r="C1105" t="str">
        <f>"Maleiro"</f>
        <v>Maleiro</v>
      </c>
    </row>
    <row r="1106" spans="1:3" ht="15">
      <c r="A1106">
        <v>5</v>
      </c>
      <c r="B1106" t="str">
        <f>"7536.3"</f>
        <v>7536.3</v>
      </c>
      <c r="C1106" t="str">
        <f>"Correeiro"</f>
        <v>Correeiro</v>
      </c>
    </row>
    <row r="1107" spans="1:3" ht="15">
      <c r="A1107">
        <v>5</v>
      </c>
      <c r="B1107" t="str">
        <f>"7536.4"</f>
        <v>7536.4</v>
      </c>
      <c r="C1107" t="str">
        <f>"Albardeiro e similares"</f>
        <v>Albardeiro e similares</v>
      </c>
    </row>
    <row r="1108" spans="1:3" ht="15">
      <c r="A1108">
        <v>3</v>
      </c>
      <c r="B1108" t="str">
        <f>"754"</f>
        <v>754</v>
      </c>
      <c r="C1108" t="str">
        <f>"Trabalhadores de outros ofícios "</f>
        <v>Trabalhadores de outros ofícios </v>
      </c>
    </row>
    <row r="1109" spans="1:3" ht="15">
      <c r="A1109">
        <v>4</v>
      </c>
      <c r="B1109" t="str">
        <f>"7541"</f>
        <v>7541</v>
      </c>
      <c r="C1109" t="str">
        <f>"Mergulhador "</f>
        <v>Mergulhador </v>
      </c>
    </row>
    <row r="1110" spans="1:3" ht="15">
      <c r="A1110">
        <v>5</v>
      </c>
      <c r="B1110" t="str">
        <f>"7541.0"</f>
        <v>7541.0</v>
      </c>
      <c r="C1110" t="str">
        <f>"Mergulhador "</f>
        <v>Mergulhador </v>
      </c>
    </row>
    <row r="1111" spans="1:3" ht="15">
      <c r="A1111">
        <v>4</v>
      </c>
      <c r="B1111" t="str">
        <f>"7542"</f>
        <v>7542</v>
      </c>
      <c r="C1111" t="str">
        <f>"Carregador de fogo e dinamitador "</f>
        <v>Carregador de fogo e dinamitador </v>
      </c>
    </row>
    <row r="1112" spans="1:3" ht="15">
      <c r="A1112">
        <v>5</v>
      </c>
      <c r="B1112" t="str">
        <f>"7542.0"</f>
        <v>7542.0</v>
      </c>
      <c r="C1112" t="str">
        <f>"Carregador de fogo e dinamitador "</f>
        <v>Carregador de fogo e dinamitador </v>
      </c>
    </row>
    <row r="1113" spans="1:3" ht="15">
      <c r="A1113">
        <v>4</v>
      </c>
      <c r="B1113" t="str">
        <f>"7543"</f>
        <v>7543</v>
      </c>
      <c r="C1113" t="str">
        <f>"Calibrador e verificador de produtos (excepto alimentos e bebidas)"</f>
        <v>Calibrador e verificador de produtos (excepto alimentos e bebidas)</v>
      </c>
    </row>
    <row r="1114" spans="1:3" ht="15">
      <c r="A1114">
        <v>5</v>
      </c>
      <c r="B1114" t="str">
        <f>"7543.0"</f>
        <v>7543.0</v>
      </c>
      <c r="C1114" t="str">
        <f>"Calibrador e verificador de produtos (excepto alimentos e bebidas)"</f>
        <v>Calibrador e verificador de produtos (excepto alimentos e bebidas)</v>
      </c>
    </row>
    <row r="1115" spans="1:3" ht="15">
      <c r="A1115">
        <v>4</v>
      </c>
      <c r="B1115" t="str">
        <f>"7544"</f>
        <v>7544</v>
      </c>
      <c r="C1115" t="str">
        <f>"Fumigador e outros controladores, de pragas e ervas daninhas"</f>
        <v>Fumigador e outros controladores, de pragas e ervas daninhas</v>
      </c>
    </row>
    <row r="1116" spans="1:3" ht="15">
      <c r="A1116">
        <v>5</v>
      </c>
      <c r="B1116" t="str">
        <f>"7544.0"</f>
        <v>7544.0</v>
      </c>
      <c r="C1116" t="str">
        <f>"Fumigador e outros controladores, de pragas e ervas daninhas"</f>
        <v>Fumigador e outros controladores, de pragas e ervas daninhas</v>
      </c>
    </row>
    <row r="1117" spans="1:3" ht="15">
      <c r="A1117">
        <v>4</v>
      </c>
      <c r="B1117" t="str">
        <f>"7549"</f>
        <v>7549</v>
      </c>
      <c r="C1117" t="str">
        <f>"Trabalhador de outros ofícios, n.e."</f>
        <v>Trabalhador de outros ofícios, n.e.</v>
      </c>
    </row>
    <row r="1118" spans="1:3" ht="15">
      <c r="A1118">
        <v>5</v>
      </c>
      <c r="B1118" t="str">
        <f>"7549.1"</f>
        <v>7549.1</v>
      </c>
      <c r="C1118" t="str">
        <f>"Trabalhador de vidro de óptica"</f>
        <v>Trabalhador de vidro de óptica</v>
      </c>
    </row>
    <row r="1119" spans="1:3" ht="15">
      <c r="A1119">
        <v>5</v>
      </c>
      <c r="B1119" t="str">
        <f>"7549.2"</f>
        <v>7549.2</v>
      </c>
      <c r="C1119" t="str">
        <f>"Salineiro "</f>
        <v>Salineiro </v>
      </c>
    </row>
    <row r="1120" spans="1:3" ht="15">
      <c r="A1120">
        <v>5</v>
      </c>
      <c r="B1120" t="str">
        <f>"7549.3"</f>
        <v>7549.3</v>
      </c>
      <c r="C1120" t="str">
        <f>"Trabalhador de fabrico de foguetes (fogueteiro)"</f>
        <v>Trabalhador de fabrico de foguetes (fogueteiro)</v>
      </c>
    </row>
    <row r="1121" spans="1:3" ht="15">
      <c r="A1121">
        <v>5</v>
      </c>
      <c r="B1121" t="str">
        <f>"7549.4"</f>
        <v>7549.4</v>
      </c>
      <c r="C1121" t="str">
        <f>"Trabalhador de outros ofícios diversos, n.e."</f>
        <v>Trabalhador de outros ofícios diversos, n.e.</v>
      </c>
    </row>
    <row r="1122" spans="1:3" ht="15">
      <c r="A1122">
        <v>1</v>
      </c>
      <c r="B1122" t="str">
        <f>"8"</f>
        <v>8</v>
      </c>
      <c r="C1122" t="str">
        <f>"Operadores de instalações e máquinas e trabalhadores da montagem"</f>
        <v>Operadores de instalações e máquinas e trabalhadores da montagem</v>
      </c>
    </row>
    <row r="1123" spans="1:3" ht="15">
      <c r="A1123">
        <v>2</v>
      </c>
      <c r="B1123" t="str">
        <f>"81"</f>
        <v>81</v>
      </c>
      <c r="C1123" t="str">
        <f>"Operadores de instalações fixas e máquinas"</f>
        <v>Operadores de instalações fixas e máquinas</v>
      </c>
    </row>
    <row r="1124" spans="1:3" ht="15">
      <c r="A1124">
        <v>3</v>
      </c>
      <c r="B1124" t="str">
        <f>"811"</f>
        <v>811</v>
      </c>
      <c r="C1124" t="str">
        <f>"Operadores de instalações, da extracção mineira e de processamento de minerais "</f>
        <v>Operadores de instalações, da extracção mineira e de processamento de minerais </v>
      </c>
    </row>
    <row r="1125" spans="1:3" ht="15">
      <c r="A1125">
        <v>4</v>
      </c>
      <c r="B1125" t="str">
        <f>"8111"</f>
        <v>8111</v>
      </c>
      <c r="C1125" t="str">
        <f>"Mineiros e trabalhadores das pedreiras "</f>
        <v>Mineiros e trabalhadores das pedreiras </v>
      </c>
    </row>
    <row r="1126" spans="1:3" ht="15">
      <c r="A1126">
        <v>5</v>
      </c>
      <c r="B1126" t="str">
        <f>"8111.1"</f>
        <v>8111.1</v>
      </c>
      <c r="C1126" t="str">
        <f>"Mineiro"</f>
        <v>Mineiro</v>
      </c>
    </row>
    <row r="1127" spans="1:3" ht="15">
      <c r="A1127">
        <v>5</v>
      </c>
      <c r="B1127" t="str">
        <f>"8111.2"</f>
        <v>8111.2</v>
      </c>
      <c r="C1127" t="str">
        <f>"Trabalhador das pedreiras"</f>
        <v>Trabalhador das pedreiras</v>
      </c>
    </row>
    <row r="1128" spans="1:3" ht="15">
      <c r="A1128">
        <v>4</v>
      </c>
      <c r="B1128" t="str">
        <f>"8112"</f>
        <v>8112</v>
      </c>
      <c r="C1128" t="str">
        <f>"Operadores de instalações de processamento de minérios e rochas"</f>
        <v>Operadores de instalações de processamento de minérios e rochas</v>
      </c>
    </row>
    <row r="1129" spans="1:3" ht="15">
      <c r="A1129">
        <v>5</v>
      </c>
      <c r="B1129" t="str">
        <f>"8112.1"</f>
        <v>8112.1</v>
      </c>
      <c r="C1129" t="str">
        <f>"Operador de instalações de processamento de minérios"</f>
        <v>Operador de instalações de processamento de minérios</v>
      </c>
    </row>
    <row r="1130" spans="1:3" ht="15">
      <c r="A1130">
        <v>5</v>
      </c>
      <c r="B1130" t="str">
        <f>"8112.2"</f>
        <v>8112.2</v>
      </c>
      <c r="C1130" t="str">
        <f>"Operador de instalações de processamento de rochas"</f>
        <v>Operador de instalações de processamento de rochas</v>
      </c>
    </row>
    <row r="1131" spans="1:3" ht="15">
      <c r="A1131">
        <v>4</v>
      </c>
      <c r="B1131" t="str">
        <f>"8113"</f>
        <v>8113</v>
      </c>
      <c r="C1131" t="str">
        <f>"Perfurador de poços, sondador e similares"</f>
        <v>Perfurador de poços, sondador e similares</v>
      </c>
    </row>
    <row r="1132" spans="1:3" ht="15">
      <c r="A1132">
        <v>5</v>
      </c>
      <c r="B1132" t="str">
        <f>"8113.0"</f>
        <v>8113.0</v>
      </c>
      <c r="C1132" t="str">
        <f>"Perfurador de poços, sondador e similares"</f>
        <v>Perfurador de poços, sondador e similares</v>
      </c>
    </row>
    <row r="1133" spans="1:3" ht="15">
      <c r="A1133">
        <v>4</v>
      </c>
      <c r="B1133" t="str">
        <f>"8114"</f>
        <v>8114</v>
      </c>
      <c r="C1133" t="str">
        <f>"Operadores de máquinas para trabalhar cimento, pedra e outros minerais"</f>
        <v>Operadores de máquinas para trabalhar cimento, pedra e outros minerais</v>
      </c>
    </row>
    <row r="1134" spans="1:3" ht="15">
      <c r="A1134">
        <v>5</v>
      </c>
      <c r="B1134" t="str">
        <f>"8114.1"</f>
        <v>8114.1</v>
      </c>
      <c r="C1134" t="str">
        <f>"Operador de máquinas para trabalhar o cimento"</f>
        <v>Operador de máquinas para trabalhar o cimento</v>
      </c>
    </row>
    <row r="1135" spans="1:3" ht="15">
      <c r="A1135">
        <v>5</v>
      </c>
      <c r="B1135" t="str">
        <f>"8114.2"</f>
        <v>8114.2</v>
      </c>
      <c r="C1135" t="str">
        <f>"Operador de máquinas para trabalhar a pedra"</f>
        <v>Operador de máquinas para trabalhar a pedra</v>
      </c>
    </row>
    <row r="1136" spans="1:3" ht="15">
      <c r="A1136">
        <v>5</v>
      </c>
      <c r="B1136" t="str">
        <f>"8114.3"</f>
        <v>8114.3</v>
      </c>
      <c r="C1136" t="str">
        <f>"Operador de máquinas para trabalhar outros minerais"</f>
        <v>Operador de máquinas para trabalhar outros minerais</v>
      </c>
    </row>
    <row r="1137" spans="1:3" ht="15">
      <c r="A1137">
        <v>3</v>
      </c>
      <c r="B1137" t="str">
        <f>"812"</f>
        <v>812</v>
      </c>
      <c r="C1137" t="str">
        <f>"Operadores de instalações de transformação e acabamento, de metais "</f>
        <v>Operadores de instalações de transformação e acabamento, de metais </v>
      </c>
    </row>
    <row r="1138" spans="1:3" ht="15">
      <c r="A1138">
        <v>4</v>
      </c>
      <c r="B1138" t="str">
        <f>"8121"</f>
        <v>8121</v>
      </c>
      <c r="C1138" t="str">
        <f>"Operadores de instalações de transformação de metais "</f>
        <v>Operadores de instalações de transformação de metais </v>
      </c>
    </row>
    <row r="1139" spans="1:3" ht="15">
      <c r="A1139">
        <v>5</v>
      </c>
      <c r="B1139" t="str">
        <f>"8121.1"</f>
        <v>8121.1</v>
      </c>
      <c r="C1139" t="str">
        <f>"Operador de instalações de fornos e de primeira transformação de metais "</f>
        <v>Operador de instalações de fornos e de primeira transformação de metais </v>
      </c>
    </row>
    <row r="1140" spans="1:3" ht="15">
      <c r="A1140">
        <v>5</v>
      </c>
      <c r="B1140" t="str">
        <f>"8121.2"</f>
        <v>8121.2</v>
      </c>
      <c r="C1140" t="str">
        <f>"Operador de instalações de fornos de segunda fusão, vazadores e laminadores, de metais "</f>
        <v>Operador de instalações de fornos de segunda fusão, vazadores e laminadores, de metais </v>
      </c>
    </row>
    <row r="1141" spans="1:3" ht="15">
      <c r="A1141">
        <v>5</v>
      </c>
      <c r="B1141" t="str">
        <f>"8121.3"</f>
        <v>8121.3</v>
      </c>
      <c r="C1141" t="str">
        <f>"Operador de instalações de tratamento térmico de metais "</f>
        <v>Operador de instalações de tratamento térmico de metais </v>
      </c>
    </row>
    <row r="1142" spans="1:3" ht="15">
      <c r="A1142">
        <v>5</v>
      </c>
      <c r="B1142" t="str">
        <f>"8121.4"</f>
        <v>8121.4</v>
      </c>
      <c r="C1142" t="str">
        <f>"Operador de instalações de trefilagem e estiragem"</f>
        <v>Operador de instalações de trefilagem e estiragem</v>
      </c>
    </row>
    <row r="1143" spans="1:3" ht="15">
      <c r="A1143">
        <v>4</v>
      </c>
      <c r="B1143" t="str">
        <f>"8122"</f>
        <v>8122</v>
      </c>
      <c r="C1143" t="str">
        <f>"Operador de máquinas de revestimento, metalização e acabamento de metais"</f>
        <v>Operador de máquinas de revestimento, metalização e acabamento de metais</v>
      </c>
    </row>
    <row r="1144" spans="1:3" ht="15">
      <c r="A1144">
        <v>5</v>
      </c>
      <c r="B1144" t="str">
        <f>"8122.0"</f>
        <v>8122.0</v>
      </c>
      <c r="C1144" t="str">
        <f>"Operador de máquinas de revestimento, metalização e acabamento de metais"</f>
        <v>Operador de máquinas de revestimento, metalização e acabamento de metais</v>
      </c>
    </row>
    <row r="1145" spans="1:3" ht="15">
      <c r="A1145">
        <v>3</v>
      </c>
      <c r="B1145" t="str">
        <f>"813"</f>
        <v>813</v>
      </c>
      <c r="C1145" t="str">
        <f>"Operadores de instalações e máquinas, do fabrico de produtos químicos e fotográficos"</f>
        <v>Operadores de instalações e máquinas, do fabrico de produtos químicos e fotográficos</v>
      </c>
    </row>
    <row r="1146" spans="1:3" ht="15">
      <c r="A1146">
        <v>4</v>
      </c>
      <c r="B1146" t="str">
        <f>"8131"</f>
        <v>8131</v>
      </c>
      <c r="C1146" t="str">
        <f>"Operadores de instalações e máquinas do fabrico de produtos químicos "</f>
        <v>Operadores de instalações e máquinas do fabrico de produtos químicos </v>
      </c>
    </row>
    <row r="1147" spans="1:3" ht="15">
      <c r="A1147">
        <v>5</v>
      </c>
      <c r="B1147" t="str">
        <f>"8131.1"</f>
        <v>8131.1</v>
      </c>
      <c r="C1147" t="str">
        <f>"Operador de instalações e máquinas para moagem de substâncias químicas"</f>
        <v>Operador de instalações e máquinas para moagem de substâncias químicas</v>
      </c>
    </row>
    <row r="1148" spans="1:3" ht="15">
      <c r="A1148">
        <v>5</v>
      </c>
      <c r="B1148" t="str">
        <f>"8131.2"</f>
        <v>8131.2</v>
      </c>
      <c r="C1148" t="str">
        <f>"Operador de instalações e máquinas para tratamento térmico de produtos químicos"</f>
        <v>Operador de instalações e máquinas para tratamento térmico de produtos químicos</v>
      </c>
    </row>
    <row r="1149" spans="1:3" ht="15">
      <c r="A1149">
        <v>5</v>
      </c>
      <c r="B1149" t="str">
        <f>"8131.3"</f>
        <v>8131.3</v>
      </c>
      <c r="C1149" t="str">
        <f>"Operador de instalações e máquinas, para filtragem e separação química"</f>
        <v>Operador de instalações e máquinas, para filtragem e separação química</v>
      </c>
    </row>
    <row r="1150" spans="1:3" ht="15">
      <c r="A1150">
        <v>5</v>
      </c>
      <c r="B1150" t="str">
        <f>"8131.4"</f>
        <v>8131.4</v>
      </c>
      <c r="C1150" t="str">
        <f>"Operador de instalações e máquinas, para reacção e verificação de produtos químicos "</f>
        <v>Operador de instalações e máquinas, para reacção e verificação de produtos químicos </v>
      </c>
    </row>
    <row r="1151" spans="1:3" ht="15">
      <c r="A1151">
        <v>5</v>
      </c>
      <c r="B1151" t="str">
        <f>"8131.5"</f>
        <v>8131.5</v>
      </c>
      <c r="C1151" t="str">
        <f>"Operador de instalações e máquinas, para petróleo e gás"</f>
        <v>Operador de instalações e máquinas, para petróleo e gás</v>
      </c>
    </row>
    <row r="1152" spans="1:3" ht="15">
      <c r="A1152">
        <v>5</v>
      </c>
      <c r="B1152" t="str">
        <f>"8131.6"</f>
        <v>8131.6</v>
      </c>
      <c r="C1152" t="str">
        <f>"Operador de instalações e máquinas para outros tratamentos químicos "</f>
        <v>Operador de instalações e máquinas para outros tratamentos químicos </v>
      </c>
    </row>
    <row r="1153" spans="1:3" ht="15">
      <c r="A1153">
        <v>4</v>
      </c>
      <c r="B1153" t="str">
        <f>"8132"</f>
        <v>8132</v>
      </c>
      <c r="C1153" t="str">
        <f>"Operador de máquinas para o fabrico de produtos fotográficos "</f>
        <v>Operador de máquinas para o fabrico de produtos fotográficos </v>
      </c>
    </row>
    <row r="1154" spans="1:3" ht="15">
      <c r="A1154">
        <v>5</v>
      </c>
      <c r="B1154" t="str">
        <f>"8132.0"</f>
        <v>8132.0</v>
      </c>
      <c r="C1154" t="str">
        <f>"Operador de máquinas para o fabrico de produtos fotográficos "</f>
        <v>Operador de máquinas para o fabrico de produtos fotográficos </v>
      </c>
    </row>
    <row r="1155" spans="1:3" ht="15">
      <c r="A1155">
        <v>3</v>
      </c>
      <c r="B1155" t="str">
        <f>"814"</f>
        <v>814</v>
      </c>
      <c r="C1155" t="str">
        <f>"Operadores de máquinas para o fabrico de produtos de borracha, plástico e papel "</f>
        <v>Operadores de máquinas para o fabrico de produtos de borracha, plástico e papel </v>
      </c>
    </row>
    <row r="1156" spans="1:3" ht="15">
      <c r="A1156">
        <v>4</v>
      </c>
      <c r="B1156" t="str">
        <f>"8141"</f>
        <v>8141</v>
      </c>
      <c r="C1156" t="str">
        <f>"Operador de máquinas para o fabrico de produtos de borracha"</f>
        <v>Operador de máquinas para o fabrico de produtos de borracha</v>
      </c>
    </row>
    <row r="1157" spans="1:3" ht="15">
      <c r="A1157">
        <v>5</v>
      </c>
      <c r="B1157" t="str">
        <f>"8141.0"</f>
        <v>8141.0</v>
      </c>
      <c r="C1157" t="str">
        <f>"Operador de máquinas para o fabrico de produtos de borracha"</f>
        <v>Operador de máquinas para o fabrico de produtos de borracha</v>
      </c>
    </row>
    <row r="1158" spans="1:3" ht="15">
      <c r="A1158">
        <v>4</v>
      </c>
      <c r="B1158" t="str">
        <f>"8142"</f>
        <v>8142</v>
      </c>
      <c r="C1158" t="str">
        <f>"Operador de máquinas para o fabrico de produtos de matérias plásticas"</f>
        <v>Operador de máquinas para o fabrico de produtos de matérias plásticas</v>
      </c>
    </row>
    <row r="1159" spans="1:3" ht="15">
      <c r="A1159">
        <v>5</v>
      </c>
      <c r="B1159" t="str">
        <f>"8142.0"</f>
        <v>8142.0</v>
      </c>
      <c r="C1159" t="str">
        <f>"Operador de máquinas para o fabrico de produtos de matérias plásticas"</f>
        <v>Operador de máquinas para o fabrico de produtos de matérias plásticas</v>
      </c>
    </row>
    <row r="1160" spans="1:3" ht="15">
      <c r="A1160">
        <v>4</v>
      </c>
      <c r="B1160" t="str">
        <f>"8143"</f>
        <v>8143</v>
      </c>
      <c r="C1160" t="str">
        <f>"Operador de máquinas para o fabrico de produtos de papel"</f>
        <v>Operador de máquinas para o fabrico de produtos de papel</v>
      </c>
    </row>
    <row r="1161" spans="1:3" ht="15">
      <c r="A1161">
        <v>5</v>
      </c>
      <c r="B1161" t="str">
        <f>"8143.0"</f>
        <v>8143.0</v>
      </c>
      <c r="C1161" t="str">
        <f>"Operador de máquinas para o fabrico de produtos de papel"</f>
        <v>Operador de máquinas para o fabrico de produtos de papel</v>
      </c>
    </row>
    <row r="1162" spans="1:3" ht="15">
      <c r="A1162">
        <v>3</v>
      </c>
      <c r="B1162" t="str">
        <f>"815"</f>
        <v>815</v>
      </c>
      <c r="C1162" t="str">
        <f>"Operadores de máquinas para o fabrico de produtos têxteis, de pele com pêlo e couro "</f>
        <v>Operadores de máquinas para o fabrico de produtos têxteis, de pele com pêlo e couro </v>
      </c>
    </row>
    <row r="1163" spans="1:3" ht="15">
      <c r="A1163">
        <v>4</v>
      </c>
      <c r="B1163" t="str">
        <f>"8151"</f>
        <v>8151</v>
      </c>
      <c r="C1163" t="str">
        <f>"Operador de máquinas para preparar, fiar e bobinar, fibras têxteis "</f>
        <v>Operador de máquinas para preparar, fiar e bobinar, fibras têxteis </v>
      </c>
    </row>
    <row r="1164" spans="1:3" ht="15">
      <c r="A1164">
        <v>5</v>
      </c>
      <c r="B1164" t="str">
        <f>"8151.0"</f>
        <v>8151.0</v>
      </c>
      <c r="C1164" t="str">
        <f>"Operador de máquinas para preparar, fiar e bobinar, fibras têxteis "</f>
        <v>Operador de máquinas para preparar, fiar e bobinar, fibras têxteis </v>
      </c>
    </row>
    <row r="1165" spans="1:3" ht="15">
      <c r="A1165">
        <v>4</v>
      </c>
      <c r="B1165" t="str">
        <f>"8152"</f>
        <v>8152</v>
      </c>
      <c r="C1165" t="str">
        <f>"Operador de máquinas de tecer e tricotar "</f>
        <v>Operador de máquinas de tecer e tricotar </v>
      </c>
    </row>
    <row r="1166" spans="1:3" ht="15">
      <c r="A1166">
        <v>5</v>
      </c>
      <c r="B1166" t="str">
        <f>"8152.0"</f>
        <v>8152.0</v>
      </c>
      <c r="C1166" t="str">
        <f>"Operador de máquinas de tecer e tricotar "</f>
        <v>Operador de máquinas de tecer e tricotar </v>
      </c>
    </row>
    <row r="1167" spans="1:3" ht="15">
      <c r="A1167">
        <v>4</v>
      </c>
      <c r="B1167" t="str">
        <f>"8153"</f>
        <v>8153</v>
      </c>
      <c r="C1167" t="str">
        <f>"Operador de máquinas de costura"</f>
        <v>Operador de máquinas de costura</v>
      </c>
    </row>
    <row r="1168" spans="1:3" ht="15">
      <c r="A1168">
        <v>5</v>
      </c>
      <c r="B1168" t="str">
        <f>"8153.0"</f>
        <v>8153.0</v>
      </c>
      <c r="C1168" t="str">
        <f>"Operador de máquinas de costura"</f>
        <v>Operador de máquinas de costura</v>
      </c>
    </row>
    <row r="1169" spans="1:3" ht="15">
      <c r="A1169">
        <v>4</v>
      </c>
      <c r="B1169" t="str">
        <f>"8154"</f>
        <v>8154</v>
      </c>
      <c r="C1169" t="str">
        <f>"Operador de máquinas de branquear, tingir e limpar, tecidos e outros têxteis"</f>
        <v>Operador de máquinas de branquear, tingir e limpar, tecidos e outros têxteis</v>
      </c>
    </row>
    <row r="1170" spans="1:3" ht="15">
      <c r="A1170">
        <v>5</v>
      </c>
      <c r="B1170" t="str">
        <f>"8154.0"</f>
        <v>8154.0</v>
      </c>
      <c r="C1170" t="str">
        <f>"Operador de máquinas de branquear, tingir e limpar, tecidos e outros têxteis"</f>
        <v>Operador de máquinas de branquear, tingir e limpar, tecidos e outros têxteis</v>
      </c>
    </row>
    <row r="1171" spans="1:3" ht="15">
      <c r="A1171">
        <v>4</v>
      </c>
      <c r="B1171" t="str">
        <f>"8155"</f>
        <v>8155</v>
      </c>
      <c r="C1171" t="str">
        <f>"Operador de máquinas para preparar peles com pêlo e couro"</f>
        <v>Operador de máquinas para preparar peles com pêlo e couro</v>
      </c>
    </row>
    <row r="1172" spans="1:3" ht="15">
      <c r="A1172">
        <v>5</v>
      </c>
      <c r="B1172" t="str">
        <f>"8155.0"</f>
        <v>8155.0</v>
      </c>
      <c r="C1172" t="str">
        <f>"Operador de máquinas para preparar peles com pêlo e couro"</f>
        <v>Operador de máquinas para preparar peles com pêlo e couro</v>
      </c>
    </row>
    <row r="1173" spans="1:3" ht="15">
      <c r="A1173">
        <v>4</v>
      </c>
      <c r="B1173" t="str">
        <f>"8156"</f>
        <v>8156</v>
      </c>
      <c r="C1173" t="str">
        <f>"Operador de máquinas de fabrico de calçado e similares"</f>
        <v>Operador de máquinas de fabrico de calçado e similares</v>
      </c>
    </row>
    <row r="1174" spans="1:3" ht="15">
      <c r="A1174">
        <v>5</v>
      </c>
      <c r="B1174" t="str">
        <f>"8156.0"</f>
        <v>8156.0</v>
      </c>
      <c r="C1174" t="str">
        <f>"Operador de máquinas de fabrico de calçado e similares"</f>
        <v>Operador de máquinas de fabrico de calçado e similares</v>
      </c>
    </row>
    <row r="1175" spans="1:3" ht="15">
      <c r="A1175">
        <v>4</v>
      </c>
      <c r="B1175" t="str">
        <f>"8157"</f>
        <v>8157</v>
      </c>
      <c r="C1175" t="str">
        <f>"Operador de máquinas de lavandaria "</f>
        <v>Operador de máquinas de lavandaria </v>
      </c>
    </row>
    <row r="1176" spans="1:3" ht="15">
      <c r="A1176">
        <v>5</v>
      </c>
      <c r="B1176" t="str">
        <f>"8157.0"</f>
        <v>8157.0</v>
      </c>
      <c r="C1176" t="str">
        <f>"Operador de máquinas de lavandaria "</f>
        <v>Operador de máquinas de lavandaria </v>
      </c>
    </row>
    <row r="1177" spans="1:3" ht="15">
      <c r="A1177">
        <v>4</v>
      </c>
      <c r="B1177" t="str">
        <f>"8159"</f>
        <v>8159</v>
      </c>
      <c r="C1177" t="str">
        <f>"Outros operadores de máquinas para o fabrico de produtos têxteis, de pele com pêlo e couro"</f>
        <v>Outros operadores de máquinas para o fabrico de produtos têxteis, de pele com pêlo e couro</v>
      </c>
    </row>
    <row r="1178" spans="1:3" ht="15">
      <c r="A1178">
        <v>5</v>
      </c>
      <c r="B1178" t="str">
        <f>"8159.0"</f>
        <v>8159.0</v>
      </c>
      <c r="C1178" t="str">
        <f>"Outros operadores de máquinas para o fabrico de produtos têxteis, de pele com pêlo e couro"</f>
        <v>Outros operadores de máquinas para o fabrico de produtos têxteis, de pele com pêlo e couro</v>
      </c>
    </row>
    <row r="1179" spans="1:3" ht="15">
      <c r="A1179">
        <v>3</v>
      </c>
      <c r="B1179" t="str">
        <f>"816"</f>
        <v>816</v>
      </c>
      <c r="C1179" t="str">
        <f>"Operadores de máquinas do fabrico de produtos alimentares e similares  "</f>
        <v>Operadores de máquinas do fabrico de produtos alimentares e similares  </v>
      </c>
    </row>
    <row r="1180" spans="1:3" ht="15">
      <c r="A1180">
        <v>4</v>
      </c>
      <c r="B1180" t="str">
        <f>"8160"</f>
        <v>8160</v>
      </c>
      <c r="C1180" t="str">
        <f>"Operadores de máquinas do fabrico de produtos alimentares e similares  "</f>
        <v>Operadores de máquinas do fabrico de produtos alimentares e similares  </v>
      </c>
    </row>
    <row r="1181" spans="1:3" ht="15">
      <c r="A1181">
        <v>5</v>
      </c>
      <c r="B1181" t="str">
        <f>"8160.1"</f>
        <v>8160.1</v>
      </c>
      <c r="C1181" t="str">
        <f>"Operador de máquinas de preparação de carne e peixe"</f>
        <v>Operador de máquinas de preparação de carne e peixe</v>
      </c>
    </row>
    <row r="1182" spans="1:3" ht="15">
      <c r="A1182">
        <v>5</v>
      </c>
      <c r="B1182" t="str">
        <f>"8160.2"</f>
        <v>8160.2</v>
      </c>
      <c r="C1182" t="str">
        <f>"Operador de máquinas de fabrico de produtos lácteos"</f>
        <v>Operador de máquinas de fabrico de produtos lácteos</v>
      </c>
    </row>
    <row r="1183" spans="1:3" ht="15">
      <c r="A1183">
        <v>5</v>
      </c>
      <c r="B1183" t="str">
        <f>"8160.3"</f>
        <v>8160.3</v>
      </c>
      <c r="C1183" t="str">
        <f>"Operador de máquinas de moagem de cereais, de transformação de arroz e de fabricação de rações"</f>
        <v>Operador de máquinas de moagem de cereais, de transformação de arroz e de fabricação de rações</v>
      </c>
    </row>
    <row r="1184" spans="1:3" ht="15">
      <c r="A1184">
        <v>5</v>
      </c>
      <c r="B1184" t="str">
        <f>"8160.4"</f>
        <v>8160.4</v>
      </c>
      <c r="C1184" t="str">
        <f>"Operador de máquinas de produtos de padaria, de pastelaria, de confeitaria e de massas alimentícias "</f>
        <v>Operador de máquinas de produtos de padaria, de pastelaria, de confeitaria e de massas alimentícias </v>
      </c>
    </row>
    <row r="1185" spans="1:3" ht="15">
      <c r="A1185">
        <v>5</v>
      </c>
      <c r="B1185" t="str">
        <f>"8160.5"</f>
        <v>8160.5</v>
      </c>
      <c r="C1185" t="str">
        <f>"Operador de máquinas de tratamento de frutos, legumes, fabrico de azeite, óleos alimentares e margarinas "</f>
        <v>Operador de máquinas de tratamento de frutos, legumes, fabrico de azeite, óleos alimentares e margarinas </v>
      </c>
    </row>
    <row r="1186" spans="1:3" ht="15">
      <c r="A1186">
        <v>5</v>
      </c>
      <c r="B1186" t="str">
        <f>"8160.6"</f>
        <v>8160.6</v>
      </c>
      <c r="C1186" t="str">
        <f>"Operador de máquinas de produção e refinação de açúcar "</f>
        <v>Operador de máquinas de produção e refinação de açúcar </v>
      </c>
    </row>
    <row r="1187" spans="1:3" ht="15">
      <c r="A1187">
        <v>5</v>
      </c>
      <c r="B1187" t="str">
        <f>"8160.7"</f>
        <v>8160.7</v>
      </c>
      <c r="C1187" t="str">
        <f>"Operador de máquinas para preparação de chá, café e cacau"</f>
        <v>Operador de máquinas para preparação de chá, café e cacau</v>
      </c>
    </row>
    <row r="1188" spans="1:3" ht="15">
      <c r="A1188">
        <v>5</v>
      </c>
      <c r="B1188" t="str">
        <f>"8160.8"</f>
        <v>8160.8</v>
      </c>
      <c r="C1188" t="str">
        <f>"Operador de máquinas para preparação de vinhos e outras bebidas"</f>
        <v>Operador de máquinas para preparação de vinhos e outras bebidas</v>
      </c>
    </row>
    <row r="1189" spans="1:3" ht="15">
      <c r="A1189">
        <v>5</v>
      </c>
      <c r="B1189" t="str">
        <f>"8160.9"</f>
        <v>8160.9</v>
      </c>
      <c r="C1189" t="str">
        <f>"Operador de máquinas para o fabrico do tabaco"</f>
        <v>Operador de máquinas para o fabrico do tabaco</v>
      </c>
    </row>
    <row r="1190" spans="1:3" ht="15">
      <c r="A1190">
        <v>3</v>
      </c>
      <c r="B1190" t="str">
        <f>"817"</f>
        <v>817</v>
      </c>
      <c r="C1190" t="str">
        <f>"Operadores de instalações para o fabrico de papel, para o trabalho da madeira e cortiça"</f>
        <v>Operadores de instalações para o fabrico de papel, para o trabalho da madeira e cortiça</v>
      </c>
    </row>
    <row r="1191" spans="1:3" ht="15">
      <c r="A1191">
        <v>4</v>
      </c>
      <c r="B1191" t="str">
        <f>"8171"</f>
        <v>8171</v>
      </c>
      <c r="C1191" t="str">
        <f>"Operador de instalações para o fabrico de pasta de papel e de papel "</f>
        <v>Operador de instalações para o fabrico de pasta de papel e de papel </v>
      </c>
    </row>
    <row r="1192" spans="1:3" ht="15">
      <c r="A1192">
        <v>5</v>
      </c>
      <c r="B1192" t="str">
        <f>"8171.0"</f>
        <v>8171.0</v>
      </c>
      <c r="C1192" t="str">
        <f>"Operador de instalações para o fabrico de pasta de papel e de papel "</f>
        <v>Operador de instalações para o fabrico de pasta de papel e de papel </v>
      </c>
    </row>
    <row r="1193" spans="1:3" ht="15">
      <c r="A1193">
        <v>4</v>
      </c>
      <c r="B1193" t="str">
        <f>"8172"</f>
        <v>8172</v>
      </c>
      <c r="C1193" t="str">
        <f>"Operador de instalações para o trabalho da madeira e cortiça"</f>
        <v>Operador de instalações para o trabalho da madeira e cortiça</v>
      </c>
    </row>
    <row r="1194" spans="1:3" ht="15">
      <c r="A1194">
        <v>5</v>
      </c>
      <c r="B1194" t="str">
        <f>"8172.0"</f>
        <v>8172.0</v>
      </c>
      <c r="C1194" t="str">
        <f>"Operador de instalações para o trabalho da madeira e cortiça"</f>
        <v>Operador de instalações para o trabalho da madeira e cortiça</v>
      </c>
    </row>
    <row r="1195" spans="1:3" ht="15">
      <c r="A1195">
        <v>3</v>
      </c>
      <c r="B1195" t="str">
        <f>"818"</f>
        <v>818</v>
      </c>
      <c r="C1195" t="str">
        <f>"Outros operadores de instalações fixas e máquinas "</f>
        <v>Outros operadores de instalações fixas e máquinas </v>
      </c>
    </row>
    <row r="1196" spans="1:3" ht="15">
      <c r="A1196">
        <v>4</v>
      </c>
      <c r="B1196" t="str">
        <f>"8181"</f>
        <v>8181</v>
      </c>
      <c r="C1196" t="str">
        <f>"Operadores de instalações do fabrico de vidro e produtos cerâmicos "</f>
        <v>Operadores de instalações do fabrico de vidro e produtos cerâmicos </v>
      </c>
    </row>
    <row r="1197" spans="1:3" ht="15">
      <c r="A1197">
        <v>5</v>
      </c>
      <c r="B1197" t="str">
        <f>"8181.1"</f>
        <v>8181.1</v>
      </c>
      <c r="C1197" t="str">
        <f>"Operador de instalações para o fabrico de vidro"</f>
        <v>Operador de instalações para o fabrico de vidro</v>
      </c>
    </row>
    <row r="1198" spans="1:3" ht="15">
      <c r="A1198">
        <v>5</v>
      </c>
      <c r="B1198" t="str">
        <f>"8181.2"</f>
        <v>8181.2</v>
      </c>
      <c r="C1198" t="str">
        <f>"Operador de instalações para o fabrico de produtos cerâmicos "</f>
        <v>Operador de instalações para o fabrico de produtos cerâmicos </v>
      </c>
    </row>
    <row r="1199" spans="1:3" ht="15">
      <c r="A1199">
        <v>4</v>
      </c>
      <c r="B1199" t="str">
        <f>"8182"</f>
        <v>8182</v>
      </c>
      <c r="C1199" t="str">
        <f>"Operador de máquinas a vapor e caldeiras"</f>
        <v>Operador de máquinas a vapor e caldeiras</v>
      </c>
    </row>
    <row r="1200" spans="1:3" ht="15">
      <c r="A1200">
        <v>5</v>
      </c>
      <c r="B1200" t="str">
        <f>"8182.0"</f>
        <v>8182.0</v>
      </c>
      <c r="C1200" t="str">
        <f>"Operador de máquinas a vapor e caldeiras"</f>
        <v>Operador de máquinas a vapor e caldeiras</v>
      </c>
    </row>
    <row r="1201" spans="1:3" ht="15">
      <c r="A1201">
        <v>4</v>
      </c>
      <c r="B1201" t="str">
        <f>"8183"</f>
        <v>8183</v>
      </c>
      <c r="C1201" t="str">
        <f>"Operador de máquinas de embalar, encher e rotular"</f>
        <v>Operador de máquinas de embalar, encher e rotular</v>
      </c>
    </row>
    <row r="1202" spans="1:3" ht="15">
      <c r="A1202">
        <v>5</v>
      </c>
      <c r="B1202" t="str">
        <f>"8183.0"</f>
        <v>8183.0</v>
      </c>
      <c r="C1202" t="str">
        <f>"Operador de máquinas de embalar, encher e rotular"</f>
        <v>Operador de máquinas de embalar, encher e rotular</v>
      </c>
    </row>
    <row r="1203" spans="1:3" ht="15">
      <c r="A1203">
        <v>4</v>
      </c>
      <c r="B1203" t="str">
        <f>"8189"</f>
        <v>8189</v>
      </c>
      <c r="C1203" t="str">
        <f>"Outros operadores de instalações fixas e de máquinas, n.e."</f>
        <v>Outros operadores de instalações fixas e de máquinas, n.e.</v>
      </c>
    </row>
    <row r="1204" spans="1:3" ht="15">
      <c r="A1204">
        <v>5</v>
      </c>
      <c r="B1204" t="str">
        <f>"8189.1"</f>
        <v>8189.1</v>
      </c>
      <c r="C1204" t="str">
        <f>"Operador de máquinas para corte, soldadura, isolamento, fabrico e enrolamento de cablagens"</f>
        <v>Operador de máquinas para corte, soldadura, isolamento, fabrico e enrolamento de cablagens</v>
      </c>
    </row>
    <row r="1205" spans="1:3" ht="15">
      <c r="A1205">
        <v>5</v>
      </c>
      <c r="B1205" t="str">
        <f>"8189.2"</f>
        <v>8189.2</v>
      </c>
      <c r="C1205" t="str">
        <f>"Operador de máquinas para fabrico de molas para estofos, colchões, veículos automóveis ou outros fins"</f>
        <v>Operador de máquinas para fabrico de molas para estofos, colchões, veículos automóveis ou outros fins</v>
      </c>
    </row>
    <row r="1206" spans="1:3" ht="15">
      <c r="A1206">
        <v>5</v>
      </c>
      <c r="B1206" t="str">
        <f>"8189.3"</f>
        <v>8189.3</v>
      </c>
      <c r="C1206" t="str">
        <f>"Operador de máquinas para fabrico de produtos de arame"</f>
        <v>Operador de máquinas para fabrico de produtos de arame</v>
      </c>
    </row>
    <row r="1207" spans="1:3" ht="15">
      <c r="A1207">
        <v>5</v>
      </c>
      <c r="B1207" t="str">
        <f>"8189.4"</f>
        <v>8189.4</v>
      </c>
      <c r="C1207" t="str">
        <f>"Outros operadores de instalações fixas e de máquinas, diversas, n.e"</f>
        <v>Outros operadores de instalações fixas e de máquinas, diversas, n.e</v>
      </c>
    </row>
    <row r="1208" spans="1:3" ht="15">
      <c r="A1208">
        <v>2</v>
      </c>
      <c r="B1208" t="str">
        <f>"82"</f>
        <v>82</v>
      </c>
      <c r="C1208" t="str">
        <f>"Trabalhadores da montagem"</f>
        <v>Trabalhadores da montagem</v>
      </c>
    </row>
    <row r="1209" spans="1:3" ht="15">
      <c r="A1209">
        <v>3</v>
      </c>
      <c r="B1209" t="str">
        <f>"821"</f>
        <v>821</v>
      </c>
      <c r="C1209" t="str">
        <f>"Trabalhadores da montagem"</f>
        <v>Trabalhadores da montagem</v>
      </c>
    </row>
    <row r="1210" spans="1:3" ht="15">
      <c r="A1210">
        <v>4</v>
      </c>
      <c r="B1210" t="str">
        <f>"8211"</f>
        <v>8211</v>
      </c>
      <c r="C1210" t="str">
        <f>"Montador de maquinaria mecânica"</f>
        <v>Montador de maquinaria mecânica</v>
      </c>
    </row>
    <row r="1211" spans="1:3" ht="15">
      <c r="A1211">
        <v>5</v>
      </c>
      <c r="B1211" t="str">
        <f>"8211.0"</f>
        <v>8211.0</v>
      </c>
      <c r="C1211" t="str">
        <f>"Montador de maquinaria mecânica"</f>
        <v>Montador de maquinaria mecânica</v>
      </c>
    </row>
    <row r="1212" spans="1:3" ht="15">
      <c r="A1212">
        <v>4</v>
      </c>
      <c r="B1212" t="str">
        <f>"8212"</f>
        <v>8212</v>
      </c>
      <c r="C1212" t="str">
        <f>"Montador de equipamentos eléctricos e electrónicos"</f>
        <v>Montador de equipamentos eléctricos e electrónicos</v>
      </c>
    </row>
    <row r="1213" spans="1:3" ht="15">
      <c r="A1213">
        <v>5</v>
      </c>
      <c r="B1213" t="str">
        <f>"8212.0"</f>
        <v>8212.0</v>
      </c>
      <c r="C1213" t="str">
        <f>"Montador de equipamentos eléctricos e electrónicos"</f>
        <v>Montador de equipamentos eléctricos e electrónicos</v>
      </c>
    </row>
    <row r="1214" spans="1:3" ht="15">
      <c r="A1214">
        <v>4</v>
      </c>
      <c r="B1214" t="str">
        <f>"8219"</f>
        <v>8219</v>
      </c>
      <c r="C1214" t="str">
        <f>"Outros trabalhadores da montagem "</f>
        <v>Outros trabalhadores da montagem </v>
      </c>
    </row>
    <row r="1215" spans="1:3" ht="15">
      <c r="A1215">
        <v>5</v>
      </c>
      <c r="B1215" t="str">
        <f>"8219.0"</f>
        <v>8219.0</v>
      </c>
      <c r="C1215" t="str">
        <f>"Outros trabalhadores da montagem "</f>
        <v>Outros trabalhadores da montagem </v>
      </c>
    </row>
    <row r="1216" spans="1:3" ht="15">
      <c r="A1216">
        <v>2</v>
      </c>
      <c r="B1216" t="str">
        <f>"83"</f>
        <v>83</v>
      </c>
      <c r="C1216" t="str">
        <f>"Condutores de veículos e operadores de equipamentos móveis "</f>
        <v>Condutores de veículos e operadores de equipamentos móveis </v>
      </c>
    </row>
    <row r="1217" spans="1:3" ht="15">
      <c r="A1217">
        <v>3</v>
      </c>
      <c r="B1217" t="str">
        <f>"831"</f>
        <v>831</v>
      </c>
      <c r="C1217" t="str">
        <f>"Maquinistas de locomotivas e similares"</f>
        <v>Maquinistas de locomotivas e similares</v>
      </c>
    </row>
    <row r="1218" spans="1:3" ht="15">
      <c r="A1218">
        <v>4</v>
      </c>
      <c r="B1218" t="str">
        <f>"8311"</f>
        <v>8311</v>
      </c>
      <c r="C1218" t="str">
        <f>"Maquinista de locomotivas"</f>
        <v>Maquinista de locomotivas</v>
      </c>
    </row>
    <row r="1219" spans="1:3" ht="15">
      <c r="A1219">
        <v>5</v>
      </c>
      <c r="B1219" t="str">
        <f>"8311.0"</f>
        <v>8311.0</v>
      </c>
      <c r="C1219" t="str">
        <f>"Maquinista de locomotivas"</f>
        <v>Maquinista de locomotivas</v>
      </c>
    </row>
    <row r="1220" spans="1:3" ht="15">
      <c r="A1220">
        <v>4</v>
      </c>
      <c r="B1220" t="str">
        <f>"8312"</f>
        <v>8312</v>
      </c>
      <c r="C1220" t="str">
        <f>"Guarda-freios, agulheiro e agente de manobras de caminhos-de-ferro"</f>
        <v>Guarda-freios, agulheiro e agente de manobras de caminhos-de-ferro</v>
      </c>
    </row>
    <row r="1221" spans="1:3" ht="15">
      <c r="A1221">
        <v>5</v>
      </c>
      <c r="B1221" t="str">
        <f>"8312.0"</f>
        <v>8312.0</v>
      </c>
      <c r="C1221" t="str">
        <f>"Guarda-freios, agulheiro e agente de manobras de caminhos-de-ferro"</f>
        <v>Guarda-freios, agulheiro e agente de manobras de caminhos-de-ferro</v>
      </c>
    </row>
    <row r="1222" spans="1:3" ht="15">
      <c r="A1222">
        <v>3</v>
      </c>
      <c r="B1222" t="str">
        <f>"832"</f>
        <v>832</v>
      </c>
      <c r="C1222" t="str">
        <f>"Motoristas de automóveis ligeiros, de carrinhas e condutores de motociclos"</f>
        <v>Motoristas de automóveis ligeiros, de carrinhas e condutores de motociclos</v>
      </c>
    </row>
    <row r="1223" spans="1:3" ht="15">
      <c r="A1223">
        <v>4</v>
      </c>
      <c r="B1223" t="str">
        <f>"8321"</f>
        <v>8321</v>
      </c>
      <c r="C1223" t="str">
        <f>"Condutor de motociclos"</f>
        <v>Condutor de motociclos</v>
      </c>
    </row>
    <row r="1224" spans="1:3" ht="15">
      <c r="A1224">
        <v>5</v>
      </c>
      <c r="B1224" t="str">
        <f>"8321.0"</f>
        <v>8321.0</v>
      </c>
      <c r="C1224" t="str">
        <f>"Condutor de motociclos"</f>
        <v>Condutor de motociclos</v>
      </c>
    </row>
    <row r="1225" spans="1:3" ht="15">
      <c r="A1225">
        <v>4</v>
      </c>
      <c r="B1225" t="str">
        <f>"8322"</f>
        <v>8322</v>
      </c>
      <c r="C1225" t="str">
        <f>"Motoristas de automóveis ligeiros, táxis e carrinhas "</f>
        <v>Motoristas de automóveis ligeiros, táxis e carrinhas </v>
      </c>
    </row>
    <row r="1226" spans="1:3" ht="15">
      <c r="A1226">
        <v>5</v>
      </c>
      <c r="B1226" t="str">
        <f>"8322.1"</f>
        <v>8322.1</v>
      </c>
      <c r="C1226" t="str">
        <f>"Motorista de táxis"</f>
        <v>Motorista de táxis</v>
      </c>
    </row>
    <row r="1227" spans="1:3" ht="15">
      <c r="A1227">
        <v>5</v>
      </c>
      <c r="B1227" t="str">
        <f>"8322.2"</f>
        <v>8322.2</v>
      </c>
      <c r="C1227" t="str">
        <f>"Motorista de automóveis ligeiros e carrinhas"</f>
        <v>Motorista de automóveis ligeiros e carrinhas</v>
      </c>
    </row>
    <row r="1228" spans="1:3" ht="15">
      <c r="A1228">
        <v>3</v>
      </c>
      <c r="B1228" t="str">
        <f>"833"</f>
        <v>833</v>
      </c>
      <c r="C1228" t="str">
        <f>"Motoristas de veículos pesados e de autocarros "</f>
        <v>Motoristas de veículos pesados e de autocarros </v>
      </c>
    </row>
    <row r="1229" spans="1:3" ht="15">
      <c r="A1229">
        <v>4</v>
      </c>
      <c r="B1229" t="str">
        <f>"8331"</f>
        <v>8331</v>
      </c>
      <c r="C1229" t="str">
        <f>"Motoristas de autocarros e guarda-freios de eléctricos "</f>
        <v>Motoristas de autocarros e guarda-freios de eléctricos </v>
      </c>
    </row>
    <row r="1230" spans="1:3" ht="15">
      <c r="A1230">
        <v>5</v>
      </c>
      <c r="B1230" t="str">
        <f>"8331.1"</f>
        <v>8331.1</v>
      </c>
      <c r="C1230" t="str">
        <f>"Motorista de autocarros"</f>
        <v>Motorista de autocarros</v>
      </c>
    </row>
    <row r="1231" spans="1:3" ht="15">
      <c r="A1231">
        <v>5</v>
      </c>
      <c r="B1231" t="str">
        <f>"8331.2"</f>
        <v>8331.2</v>
      </c>
      <c r="C1231" t="str">
        <f>"Guarda-freio de eléctrico"</f>
        <v>Guarda-freio de eléctrico</v>
      </c>
    </row>
    <row r="1232" spans="1:3" ht="15">
      <c r="A1232">
        <v>4</v>
      </c>
      <c r="B1232" t="str">
        <f>"8332"</f>
        <v>8332</v>
      </c>
      <c r="C1232" t="str">
        <f>"Motorista de veículos pesados de mercadorias"</f>
        <v>Motorista de veículos pesados de mercadorias</v>
      </c>
    </row>
    <row r="1233" spans="1:3" ht="15">
      <c r="A1233">
        <v>5</v>
      </c>
      <c r="B1233" t="str">
        <f>"8332.0"</f>
        <v>8332.0</v>
      </c>
      <c r="C1233" t="str">
        <f>"Motorista de veículos pesados de mercadorias"</f>
        <v>Motorista de veículos pesados de mercadorias</v>
      </c>
    </row>
    <row r="1234" spans="1:3" ht="15">
      <c r="A1234">
        <v>3</v>
      </c>
      <c r="B1234" t="str">
        <f>"834"</f>
        <v>834</v>
      </c>
      <c r="C1234" t="str">
        <f>"Operadores de equipamentos móveis "</f>
        <v>Operadores de equipamentos móveis </v>
      </c>
    </row>
    <row r="1235" spans="1:3" ht="15">
      <c r="A1235">
        <v>4</v>
      </c>
      <c r="B1235" t="str">
        <f>"8341"</f>
        <v>8341</v>
      </c>
      <c r="C1235" t="str">
        <f>"Operador de máquinas agrícolas e florestais, móveis"</f>
        <v>Operador de máquinas agrícolas e florestais, móveis</v>
      </c>
    </row>
    <row r="1236" spans="1:3" ht="15">
      <c r="A1236">
        <v>5</v>
      </c>
      <c r="B1236" t="str">
        <f>"8341.0"</f>
        <v>8341.0</v>
      </c>
      <c r="C1236" t="str">
        <f>"Operador de máquinas agrícolas e florestais, móveis"</f>
        <v>Operador de máquinas agrícolas e florestais, móveis</v>
      </c>
    </row>
    <row r="1237" spans="1:3" ht="15">
      <c r="A1237">
        <v>4</v>
      </c>
      <c r="B1237" t="str">
        <f>"8342"</f>
        <v>8342</v>
      </c>
      <c r="C1237" t="str">
        <f>"Operador de máquinas de escavação, terraplenagem e similares"</f>
        <v>Operador de máquinas de escavação, terraplenagem e similares</v>
      </c>
    </row>
    <row r="1238" spans="1:3" ht="15">
      <c r="A1238">
        <v>5</v>
      </c>
      <c r="B1238" t="str">
        <f>"8342.0"</f>
        <v>8342.0</v>
      </c>
      <c r="C1238" t="str">
        <f>"Operador de máquinas de escavação, terraplenagem e similares"</f>
        <v>Operador de máquinas de escavação, terraplenagem e similares</v>
      </c>
    </row>
    <row r="1239" spans="1:3" ht="15">
      <c r="A1239">
        <v>4</v>
      </c>
      <c r="B1239" t="str">
        <f>"8343"</f>
        <v>8343</v>
      </c>
      <c r="C1239" t="str">
        <f>"Operador de gruas, guindastes e similares"</f>
        <v>Operador de gruas, guindastes e similares</v>
      </c>
    </row>
    <row r="1240" spans="1:3" ht="15">
      <c r="A1240">
        <v>5</v>
      </c>
      <c r="B1240" t="str">
        <f>"8343.0"</f>
        <v>8343.0</v>
      </c>
      <c r="C1240" t="str">
        <f>"Operador de gruas, guindastes e similares"</f>
        <v>Operador de gruas, guindastes e similares</v>
      </c>
    </row>
    <row r="1241" spans="1:3" ht="15">
      <c r="A1241">
        <v>4</v>
      </c>
      <c r="B1241" t="str">
        <f>"8344"</f>
        <v>8344</v>
      </c>
      <c r="C1241" t="str">
        <f>"Operador de empilhadores "</f>
        <v>Operador de empilhadores </v>
      </c>
    </row>
    <row r="1242" spans="1:3" ht="15">
      <c r="A1242">
        <v>5</v>
      </c>
      <c r="B1242" t="str">
        <f>"8344.0"</f>
        <v>8344.0</v>
      </c>
      <c r="C1242" t="str">
        <f>"Operador de empilhadores "</f>
        <v>Operador de empilhadores </v>
      </c>
    </row>
    <row r="1243" spans="1:3" ht="15">
      <c r="A1243">
        <v>3</v>
      </c>
      <c r="B1243" t="str">
        <f>"835"</f>
        <v>835</v>
      </c>
      <c r="C1243" t="str">
        <f>"Tripulação de convés de navios e similares "</f>
        <v>Tripulação de convés de navios e similares </v>
      </c>
    </row>
    <row r="1244" spans="1:3" ht="15">
      <c r="A1244">
        <v>4</v>
      </c>
      <c r="B1244" t="str">
        <f>"8350"</f>
        <v>8350</v>
      </c>
      <c r="C1244" t="str">
        <f>"Tripulação de convés de navios e similares "</f>
        <v>Tripulação de convés de navios e similares </v>
      </c>
    </row>
    <row r="1245" spans="1:3" ht="15">
      <c r="A1245">
        <v>5</v>
      </c>
      <c r="B1245" t="str">
        <f>"8350.0"</f>
        <v>8350.0</v>
      </c>
      <c r="C1245" t="str">
        <f>"Tripulação de convés de navios e similares "</f>
        <v>Tripulação de convés de navios e similares </v>
      </c>
    </row>
    <row r="1246" spans="1:3" ht="15">
      <c r="A1246">
        <v>1</v>
      </c>
      <c r="B1246" t="str">
        <f>"9"</f>
        <v>9</v>
      </c>
      <c r="C1246" t="str">
        <f>"Trabalhadores não qualificados "</f>
        <v>Trabalhadores não qualificados </v>
      </c>
    </row>
    <row r="1247" spans="1:3" ht="15">
      <c r="A1247">
        <v>2</v>
      </c>
      <c r="B1247" t="str">
        <f>"91"</f>
        <v>91</v>
      </c>
      <c r="C1247" t="str">
        <f>"Trabalhadores de limpeza"</f>
        <v>Trabalhadores de limpeza</v>
      </c>
    </row>
    <row r="1248" spans="1:3" ht="15">
      <c r="A1248">
        <v>3</v>
      </c>
      <c r="B1248" t="str">
        <f>"911"</f>
        <v>911</v>
      </c>
      <c r="C1248" t="str">
        <f>"Trabalhadores de limpeza em casas particulares, hotéis e escritórios "</f>
        <v>Trabalhadores de limpeza em casas particulares, hotéis e escritórios </v>
      </c>
    </row>
    <row r="1249" spans="1:3" ht="15">
      <c r="A1249">
        <v>4</v>
      </c>
      <c r="B1249" t="str">
        <f>"9111"</f>
        <v>9111</v>
      </c>
      <c r="C1249" t="str">
        <f>"Trabalhador de limpeza em casas particulares"</f>
        <v>Trabalhador de limpeza em casas particulares</v>
      </c>
    </row>
    <row r="1250" spans="1:3" ht="15">
      <c r="A1250">
        <v>5</v>
      </c>
      <c r="B1250" t="str">
        <f>"9111.0"</f>
        <v>9111.0</v>
      </c>
      <c r="C1250" t="str">
        <f>"Trabalhador de limpeza em casas particulares"</f>
        <v>Trabalhador de limpeza em casas particulares</v>
      </c>
    </row>
    <row r="1251" spans="1:3" ht="15">
      <c r="A1251">
        <v>4</v>
      </c>
      <c r="B1251" t="str">
        <f>"9112"</f>
        <v>9112</v>
      </c>
      <c r="C1251" t="str">
        <f>"Trabalhador de limpeza em escritórios, hotéis e outros estabelecimentos "</f>
        <v>Trabalhador de limpeza em escritórios, hotéis e outros estabelecimentos </v>
      </c>
    </row>
    <row r="1252" spans="1:3" ht="15">
      <c r="A1252">
        <v>5</v>
      </c>
      <c r="B1252" t="str">
        <f>"9112.0"</f>
        <v>9112.0</v>
      </c>
      <c r="C1252" t="str">
        <f>"Trabalhador de limpeza em escritórios, hotéis e outros estabelecimentos "</f>
        <v>Trabalhador de limpeza em escritórios, hotéis e outros estabelecimentos </v>
      </c>
    </row>
    <row r="1253" spans="1:3" ht="15">
      <c r="A1253">
        <v>3</v>
      </c>
      <c r="B1253" t="str">
        <f>"912"</f>
        <v>912</v>
      </c>
      <c r="C1253" t="str">
        <f>"Trabalhadores de limpeza de veículos, janelas, roupa e de outra limpeza manual "</f>
        <v>Trabalhadores de limpeza de veículos, janelas, roupa e de outra limpeza manual </v>
      </c>
    </row>
    <row r="1254" spans="1:3" ht="15">
      <c r="A1254">
        <v>4</v>
      </c>
      <c r="B1254" t="str">
        <f>"9121"</f>
        <v>9121</v>
      </c>
      <c r="C1254" t="str">
        <f>"Lavadeiro e engomador de roupa "</f>
        <v>Lavadeiro e engomador de roupa </v>
      </c>
    </row>
    <row r="1255" spans="1:3" ht="15">
      <c r="A1255">
        <v>5</v>
      </c>
      <c r="B1255" t="str">
        <f>"9121.0"</f>
        <v>9121.0</v>
      </c>
      <c r="C1255" t="str">
        <f>"Lavadeiro e engomador de roupa "</f>
        <v>Lavadeiro e engomador de roupa </v>
      </c>
    </row>
    <row r="1256" spans="1:3" ht="15">
      <c r="A1256">
        <v>4</v>
      </c>
      <c r="B1256" t="str">
        <f>"9122"</f>
        <v>9122</v>
      </c>
      <c r="C1256" t="str">
        <f>"Lavador de veículos "</f>
        <v>Lavador de veículos </v>
      </c>
    </row>
    <row r="1257" spans="1:3" ht="15">
      <c r="A1257">
        <v>5</v>
      </c>
      <c r="B1257" t="str">
        <f>"9122.0"</f>
        <v>9122.0</v>
      </c>
      <c r="C1257" t="str">
        <f>"Lavador de veículos "</f>
        <v>Lavador de veículos </v>
      </c>
    </row>
    <row r="1258" spans="1:3" ht="15">
      <c r="A1258">
        <v>4</v>
      </c>
      <c r="B1258" t="str">
        <f>"9123"</f>
        <v>9123</v>
      </c>
      <c r="C1258" t="str">
        <f>"Lavador de janelas "</f>
        <v>Lavador de janelas </v>
      </c>
    </row>
    <row r="1259" spans="1:3" ht="15">
      <c r="A1259">
        <v>5</v>
      </c>
      <c r="B1259" t="str">
        <f>"9123.0"</f>
        <v>9123.0</v>
      </c>
      <c r="C1259" t="str">
        <f>"Lavador de janelas "</f>
        <v>Lavador de janelas </v>
      </c>
    </row>
    <row r="1260" spans="1:3" ht="15">
      <c r="A1260">
        <v>4</v>
      </c>
      <c r="B1260" t="str">
        <f>"9129"</f>
        <v>9129</v>
      </c>
      <c r="C1260" t="str">
        <f>"Outro trabalhador de limpeza manual "</f>
        <v>Outro trabalhador de limpeza manual </v>
      </c>
    </row>
    <row r="1261" spans="1:3" ht="15">
      <c r="A1261">
        <v>5</v>
      </c>
      <c r="B1261" t="str">
        <f>"9129.0"</f>
        <v>9129.0</v>
      </c>
      <c r="C1261" t="str">
        <f>"Outro trabalhador de limpeza manual "</f>
        <v>Outro trabalhador de limpeza manual </v>
      </c>
    </row>
    <row r="1262" spans="1:3" ht="15">
      <c r="A1262">
        <v>2</v>
      </c>
      <c r="B1262" t="str">
        <f>"92"</f>
        <v>92</v>
      </c>
      <c r="C1262" t="str">
        <f>"Trabalhadores não qualificados da agricultura, produção animal, pesca e floresta "</f>
        <v>Trabalhadores não qualificados da agricultura, produção animal, pesca e floresta </v>
      </c>
    </row>
    <row r="1263" spans="1:3" ht="15">
      <c r="A1263">
        <v>3</v>
      </c>
      <c r="B1263" t="str">
        <f>"921"</f>
        <v>921</v>
      </c>
      <c r="C1263" t="str">
        <f>"Trabalhadores não qualificados da agricultura, produção animal, pesca e floresta "</f>
        <v>Trabalhadores não qualificados da agricultura, produção animal, pesca e floresta </v>
      </c>
    </row>
    <row r="1264" spans="1:3" ht="15">
      <c r="A1264">
        <v>4</v>
      </c>
      <c r="B1264" t="str">
        <f>"9211"</f>
        <v>9211</v>
      </c>
      <c r="C1264" t="str">
        <f>"Trabalhador não qualificado da agricultura (exclui horticultura e floricultura)"</f>
        <v>Trabalhador não qualificado da agricultura (exclui horticultura e floricultura)</v>
      </c>
    </row>
    <row r="1265" spans="1:3" ht="15">
      <c r="A1265">
        <v>5</v>
      </c>
      <c r="B1265" t="str">
        <f>"9211.0"</f>
        <v>9211.0</v>
      </c>
      <c r="C1265" t="str">
        <f>"Trabalhador não qualificado da agricultura (exclui horticultura e floricultura)"</f>
        <v>Trabalhador não qualificado da agricultura (exclui horticultura e floricultura)</v>
      </c>
    </row>
    <row r="1266" spans="1:3" ht="15">
      <c r="A1266">
        <v>4</v>
      </c>
      <c r="B1266" t="str">
        <f>"9212"</f>
        <v>9212</v>
      </c>
      <c r="C1266" t="str">
        <f>"Trabalhador não qualificado da produção animal"</f>
        <v>Trabalhador não qualificado da produção animal</v>
      </c>
    </row>
    <row r="1267" spans="1:3" ht="15">
      <c r="A1267">
        <v>5</v>
      </c>
      <c r="B1267" t="str">
        <f>"9212.0"</f>
        <v>9212.0</v>
      </c>
      <c r="C1267" t="str">
        <f>"Trabalhador não qualificado da produção animal"</f>
        <v>Trabalhador não qualificado da produção animal</v>
      </c>
    </row>
    <row r="1268" spans="1:3" ht="15">
      <c r="A1268">
        <v>4</v>
      </c>
      <c r="B1268" t="str">
        <f>"9213"</f>
        <v>9213</v>
      </c>
      <c r="C1268" t="str">
        <f>"Trabalhador não qualificado da agricultura e produção animal combinadas "</f>
        <v>Trabalhador não qualificado da agricultura e produção animal combinadas </v>
      </c>
    </row>
    <row r="1269" spans="1:3" ht="15">
      <c r="A1269">
        <v>5</v>
      </c>
      <c r="B1269" t="str">
        <f>"9213.0"</f>
        <v>9213.0</v>
      </c>
      <c r="C1269" t="str">
        <f>"Trabalhador não qualificado da agricultura e produção animal combinadas "</f>
        <v>Trabalhador não qualificado da agricultura e produção animal combinadas </v>
      </c>
    </row>
    <row r="1270" spans="1:3" ht="15">
      <c r="A1270">
        <v>4</v>
      </c>
      <c r="B1270" t="str">
        <f>"9214"</f>
        <v>9214</v>
      </c>
      <c r="C1270" t="str">
        <f>"Trabalhador não qualificado da floricultura e horticultura"</f>
        <v>Trabalhador não qualificado da floricultura e horticultura</v>
      </c>
    </row>
    <row r="1271" spans="1:3" ht="15">
      <c r="A1271">
        <v>5</v>
      </c>
      <c r="B1271" t="str">
        <f>"9214.0"</f>
        <v>9214.0</v>
      </c>
      <c r="C1271" t="str">
        <f>"Trabalhador não qualificado da floricultura e horticultura"</f>
        <v>Trabalhador não qualificado da floricultura e horticultura</v>
      </c>
    </row>
    <row r="1272" spans="1:3" ht="15">
      <c r="A1272">
        <v>4</v>
      </c>
      <c r="B1272" t="str">
        <f>"9215"</f>
        <v>9215</v>
      </c>
      <c r="C1272" t="str">
        <f>"Trabalhador não qualificado da floresta "</f>
        <v>Trabalhador não qualificado da floresta </v>
      </c>
    </row>
    <row r="1273" spans="1:3" ht="15">
      <c r="A1273">
        <v>5</v>
      </c>
      <c r="B1273" t="str">
        <f>"9215.0"</f>
        <v>9215.0</v>
      </c>
      <c r="C1273" t="str">
        <f>"Trabalhador não qualificado da floresta "</f>
        <v>Trabalhador não qualificado da floresta </v>
      </c>
    </row>
    <row r="1274" spans="1:3" ht="15">
      <c r="A1274">
        <v>4</v>
      </c>
      <c r="B1274" t="str">
        <f>"9216"</f>
        <v>9216</v>
      </c>
      <c r="C1274" t="str">
        <f>"Trabalhadores não qualificados, da pesca e aquicultura"</f>
        <v>Trabalhadores não qualificados, da pesca e aquicultura</v>
      </c>
    </row>
    <row r="1275" spans="1:3" ht="15">
      <c r="A1275">
        <v>5</v>
      </c>
      <c r="B1275" t="str">
        <f>"9216.1"</f>
        <v>9216.1</v>
      </c>
      <c r="C1275" t="str">
        <f>"Trabalhador não qualificado da pesca"</f>
        <v>Trabalhador não qualificado da pesca</v>
      </c>
    </row>
    <row r="1276" spans="1:3" ht="15">
      <c r="A1276">
        <v>5</v>
      </c>
      <c r="B1276" t="str">
        <f>"9216.2"</f>
        <v>9216.2</v>
      </c>
      <c r="C1276" t="str">
        <f>"Trabalhador não qualificado da aquicultura"</f>
        <v>Trabalhador não qualificado da aquicultura</v>
      </c>
    </row>
    <row r="1277" spans="1:3" ht="15">
      <c r="A1277">
        <v>2</v>
      </c>
      <c r="B1277" t="str">
        <f>"93"</f>
        <v>93</v>
      </c>
      <c r="C1277" t="str">
        <f>"Trabalhadores não qualificados da indústria extractiva, construção, indústria transformadora e transportes"</f>
        <v>Trabalhadores não qualificados da indústria extractiva, construção, indústria transformadora e transportes</v>
      </c>
    </row>
    <row r="1278" spans="1:3" ht="15">
      <c r="A1278">
        <v>3</v>
      </c>
      <c r="B1278" t="str">
        <f>"931"</f>
        <v>931</v>
      </c>
      <c r="C1278" t="str">
        <f>"Trabalhadores não qualificados da indústria extractiva e construção"</f>
        <v>Trabalhadores não qualificados da indústria extractiva e construção</v>
      </c>
    </row>
    <row r="1279" spans="1:3" ht="15">
      <c r="A1279">
        <v>4</v>
      </c>
      <c r="B1279" t="str">
        <f>"9311"</f>
        <v>9311</v>
      </c>
      <c r="C1279" t="str">
        <f>"Trabalhadores não qualificados das minas e pedreiras "</f>
        <v>Trabalhadores não qualificados das minas e pedreiras </v>
      </c>
    </row>
    <row r="1280" spans="1:3" ht="15">
      <c r="A1280">
        <v>5</v>
      </c>
      <c r="B1280" t="str">
        <f>"9311.1"</f>
        <v>9311.1</v>
      </c>
      <c r="C1280" t="str">
        <f>"Trabalhador não qualificado das minas"</f>
        <v>Trabalhador não qualificado das minas</v>
      </c>
    </row>
    <row r="1281" spans="1:3" ht="15">
      <c r="A1281">
        <v>5</v>
      </c>
      <c r="B1281" t="str">
        <f>"9311.2"</f>
        <v>9311.2</v>
      </c>
      <c r="C1281" t="str">
        <f>"Trabalhador não qualificado das pedreiras"</f>
        <v>Trabalhador não qualificado das pedreiras</v>
      </c>
    </row>
    <row r="1282" spans="1:3" ht="15">
      <c r="A1282">
        <v>4</v>
      </c>
      <c r="B1282" t="str">
        <f>"9312"</f>
        <v>9312</v>
      </c>
      <c r="C1282" t="str">
        <f>"Trabalhador não qualificado de engenharia civil "</f>
        <v>Trabalhador não qualificado de engenharia civil </v>
      </c>
    </row>
    <row r="1283" spans="1:3" ht="15">
      <c r="A1283">
        <v>5</v>
      </c>
      <c r="B1283" t="str">
        <f>"9312.0"</f>
        <v>9312.0</v>
      </c>
      <c r="C1283" t="str">
        <f>"Trabalhador não qualificado de engenharia civil "</f>
        <v>Trabalhador não qualificado de engenharia civil </v>
      </c>
    </row>
    <row r="1284" spans="1:3" ht="15">
      <c r="A1284">
        <v>4</v>
      </c>
      <c r="B1284" t="str">
        <f>"9313"</f>
        <v>9313</v>
      </c>
      <c r="C1284" t="str">
        <f>"Trabalhador não qualificado da construção de edifícios "</f>
        <v>Trabalhador não qualificado da construção de edifícios </v>
      </c>
    </row>
    <row r="1285" spans="1:3" ht="15">
      <c r="A1285">
        <v>5</v>
      </c>
      <c r="B1285" t="str">
        <f>"9313.0"</f>
        <v>9313.0</v>
      </c>
      <c r="C1285" t="str">
        <f>"Trabalhador não qualificado da construção de edifícios "</f>
        <v>Trabalhador não qualificado da construção de edifícios </v>
      </c>
    </row>
    <row r="1286" spans="1:3" ht="15">
      <c r="A1286">
        <v>3</v>
      </c>
      <c r="B1286" t="str">
        <f>"932"</f>
        <v>932</v>
      </c>
      <c r="C1286" t="str">
        <f>"Trabalhadores não qualificados da indústria transformadora "</f>
        <v>Trabalhadores não qualificados da indústria transformadora </v>
      </c>
    </row>
    <row r="1287" spans="1:3" ht="15">
      <c r="A1287">
        <v>4</v>
      </c>
      <c r="B1287" t="str">
        <f>"9321"</f>
        <v>9321</v>
      </c>
      <c r="C1287" t="str">
        <f>"Embalador manual da indústria transformadora"</f>
        <v>Embalador manual da indústria transformadora</v>
      </c>
    </row>
    <row r="1288" spans="1:3" ht="15">
      <c r="A1288">
        <v>5</v>
      </c>
      <c r="B1288" t="str">
        <f>"9321.0"</f>
        <v>9321.0</v>
      </c>
      <c r="C1288" t="str">
        <f>"Embalador manual da indústria transformadora"</f>
        <v>Embalador manual da indústria transformadora</v>
      </c>
    </row>
    <row r="1289" spans="1:3" ht="15">
      <c r="A1289">
        <v>4</v>
      </c>
      <c r="B1289" t="str">
        <f>"9329"</f>
        <v>9329</v>
      </c>
      <c r="C1289" t="str">
        <f>"Outros trabalhadores não qualificados da indústria transformador"</f>
        <v>Outros trabalhadores não qualificados da indústria transformador</v>
      </c>
    </row>
    <row r="1290" spans="1:3" ht="15">
      <c r="A1290">
        <v>5</v>
      </c>
      <c r="B1290" t="str">
        <f>"9329.0"</f>
        <v>9329.0</v>
      </c>
      <c r="C1290" t="str">
        <f>"Outros trabalhadores não qualificados da indústria transformadora"</f>
        <v>Outros trabalhadores não qualificados da indústria transformadora</v>
      </c>
    </row>
    <row r="1291" spans="1:3" ht="15">
      <c r="A1291">
        <v>3</v>
      </c>
      <c r="B1291" t="str">
        <f>"933"</f>
        <v>933</v>
      </c>
      <c r="C1291" t="str">
        <f>"Trabalhadores não qualificados de apoio, aos transportes e armazenagem"</f>
        <v>Trabalhadores não qualificados de apoio, aos transportes e armazenagem</v>
      </c>
    </row>
    <row r="1292" spans="1:3" ht="15">
      <c r="A1292">
        <v>4</v>
      </c>
      <c r="B1292" t="str">
        <f>"9331"</f>
        <v>9331</v>
      </c>
      <c r="C1292" t="str">
        <f>"Condutor de veículos accionados à mão ou ao pé"</f>
        <v>Condutor de veículos accionados à mão ou ao pé</v>
      </c>
    </row>
    <row r="1293" spans="1:3" ht="15">
      <c r="A1293">
        <v>5</v>
      </c>
      <c r="B1293" t="str">
        <f>"9331.0"</f>
        <v>9331.0</v>
      </c>
      <c r="C1293" t="str">
        <f>"Condutor de veículos accionados à mão ou ao pé"</f>
        <v>Condutor de veículos accionados à mão ou ao pé</v>
      </c>
    </row>
    <row r="1294" spans="1:3" ht="15">
      <c r="A1294">
        <v>4</v>
      </c>
      <c r="B1294" t="str">
        <f>"9332"</f>
        <v>9332</v>
      </c>
      <c r="C1294" t="str">
        <f>"Condutor de veículos de tracção animal"</f>
        <v>Condutor de veículos de tracção animal</v>
      </c>
    </row>
    <row r="1295" spans="1:3" ht="15">
      <c r="A1295">
        <v>5</v>
      </c>
      <c r="B1295" t="str">
        <f>"9332.0"</f>
        <v>9332.0</v>
      </c>
      <c r="C1295" t="str">
        <f>"Condutor de veículos de tracção animal"</f>
        <v>Condutor de veículos de tracção animal</v>
      </c>
    </row>
    <row r="1296" spans="1:3" ht="15">
      <c r="A1296">
        <v>4</v>
      </c>
      <c r="B1296" t="str">
        <f>"9333"</f>
        <v>9333</v>
      </c>
      <c r="C1296" t="str">
        <f>"Carregadores e descarregadores não qualificados de mercadorias"</f>
        <v>Carregadores e descarregadores não qualificados de mercadorias</v>
      </c>
    </row>
    <row r="1297" spans="1:3" ht="15">
      <c r="A1297">
        <v>5</v>
      </c>
      <c r="B1297" t="str">
        <f>"9333.0"</f>
        <v>9333.0</v>
      </c>
      <c r="C1297" t="str">
        <f>"Carregadores e descarregadores não qualificados de mercadorias"</f>
        <v>Carregadores e descarregadores não qualificados de mercadorias</v>
      </c>
    </row>
    <row r="1298" spans="1:3" ht="15">
      <c r="A1298">
        <v>4</v>
      </c>
      <c r="B1298" t="str">
        <f>"9334"</f>
        <v>9334</v>
      </c>
      <c r="C1298" t="str">
        <f>"Repositor de produtos em prateleiras"</f>
        <v>Repositor de produtos em prateleiras</v>
      </c>
    </row>
    <row r="1299" spans="1:3" ht="15">
      <c r="A1299">
        <v>5</v>
      </c>
      <c r="B1299" t="str">
        <f>"9334.0"</f>
        <v>9334.0</v>
      </c>
      <c r="C1299" t="str">
        <f>"Repositor de produtos em prateleiras"</f>
        <v>Repositor de produtos em prateleiras</v>
      </c>
    </row>
    <row r="1300" spans="1:3" ht="15">
      <c r="A1300">
        <v>2</v>
      </c>
      <c r="B1300" t="str">
        <f>"94"</f>
        <v>94</v>
      </c>
      <c r="C1300" t="str">
        <f>"Assistentes na preparação de refeições"</f>
        <v>Assistentes na preparação de refeições</v>
      </c>
    </row>
    <row r="1301" spans="1:3" ht="15">
      <c r="A1301">
        <v>3</v>
      </c>
      <c r="B1301" t="str">
        <f>"941"</f>
        <v>941</v>
      </c>
      <c r="C1301" t="str">
        <f>"Assistentes na preparação de refeições"</f>
        <v>Assistentes na preparação de refeições</v>
      </c>
    </row>
    <row r="1302" spans="1:3" ht="15">
      <c r="A1302">
        <v>4</v>
      </c>
      <c r="B1302" t="str">
        <f>"9411"</f>
        <v>9411</v>
      </c>
      <c r="C1302" t="str">
        <f>"Preparador de refeições rápidas"</f>
        <v>Preparador de refeições rápidas</v>
      </c>
    </row>
    <row r="1303" spans="1:3" ht="15">
      <c r="A1303">
        <v>5</v>
      </c>
      <c r="B1303" t="str">
        <f>"9411.0"</f>
        <v>9411.0</v>
      </c>
      <c r="C1303" t="str">
        <f>"Preparador de refeições rápidas"</f>
        <v>Preparador de refeições rápidas</v>
      </c>
    </row>
    <row r="1304" spans="1:3" ht="15">
      <c r="A1304">
        <v>4</v>
      </c>
      <c r="B1304" t="str">
        <f>"9412"</f>
        <v>9412</v>
      </c>
      <c r="C1304" t="str">
        <f>"Ajudante de cozinha"</f>
        <v>Ajudante de cozinha</v>
      </c>
    </row>
    <row r="1305" spans="1:3" ht="15">
      <c r="A1305">
        <v>5</v>
      </c>
      <c r="B1305" t="str">
        <f>"9412.0"</f>
        <v>9412.0</v>
      </c>
      <c r="C1305" t="str">
        <f>"Ajudante de cozinha"</f>
        <v>Ajudante de cozinha</v>
      </c>
    </row>
    <row r="1306" spans="1:3" ht="15">
      <c r="A1306">
        <v>2</v>
      </c>
      <c r="B1306" t="str">
        <f>"95"</f>
        <v>95</v>
      </c>
      <c r="C1306" t="str">
        <f>"Vendedores ambulantes (excepto de alimentos) e prestadores de serviços na rua"</f>
        <v>Vendedores ambulantes (excepto de alimentos) e prestadores de serviços na rua</v>
      </c>
    </row>
    <row r="1307" spans="1:3" ht="15">
      <c r="A1307">
        <v>3</v>
      </c>
      <c r="B1307" t="str">
        <f>"951"</f>
        <v>951</v>
      </c>
      <c r="C1307" t="str">
        <f>"Prestador de serviços na rua"</f>
        <v>Prestador de serviços na rua</v>
      </c>
    </row>
    <row r="1308" spans="1:3" ht="15">
      <c r="A1308">
        <v>4</v>
      </c>
      <c r="B1308" t="str">
        <f>"9510"</f>
        <v>9510</v>
      </c>
      <c r="C1308" t="str">
        <f>"Prestador de serviços na rua"</f>
        <v>Prestador de serviços na rua</v>
      </c>
    </row>
    <row r="1309" spans="1:3" ht="15">
      <c r="A1309">
        <v>5</v>
      </c>
      <c r="B1309" t="str">
        <f>"9510.0"</f>
        <v>9510.0</v>
      </c>
      <c r="C1309" t="str">
        <f>"Prestador de serviços na rua"</f>
        <v>Prestador de serviços na rua</v>
      </c>
    </row>
    <row r="1310" spans="1:3" ht="15">
      <c r="A1310">
        <v>3</v>
      </c>
      <c r="B1310" t="str">
        <f>"952"</f>
        <v>952</v>
      </c>
      <c r="C1310" t="str">
        <f>"Vendedor ambulante (excepto de alimentos) "</f>
        <v>Vendedor ambulante (excepto de alimentos) </v>
      </c>
    </row>
    <row r="1311" spans="1:3" ht="15">
      <c r="A1311">
        <v>4</v>
      </c>
      <c r="B1311" t="str">
        <f>"9520"</f>
        <v>9520</v>
      </c>
      <c r="C1311" t="str">
        <f>"Vendedor ambulante (excepto de alimentos) "</f>
        <v>Vendedor ambulante (excepto de alimentos) </v>
      </c>
    </row>
    <row r="1312" spans="1:3" ht="15">
      <c r="A1312">
        <v>5</v>
      </c>
      <c r="B1312" t="str">
        <f>"9520.0"</f>
        <v>9520.0</v>
      </c>
      <c r="C1312" t="str">
        <f>"Vendedor ambulante (excepto de alimentos) "</f>
        <v>Vendedor ambulante (excepto de alimentos) </v>
      </c>
    </row>
    <row r="1313" spans="1:3" ht="15">
      <c r="A1313">
        <v>2</v>
      </c>
      <c r="B1313" t="str">
        <f>"96"</f>
        <v>96</v>
      </c>
      <c r="C1313" t="str">
        <f>"Trabalhadores dos resíduos e de outros serviços elementares "</f>
        <v>Trabalhadores dos resíduos e de outros serviços elementares </v>
      </c>
    </row>
    <row r="1314" spans="1:3" ht="15">
      <c r="A1314">
        <v>3</v>
      </c>
      <c r="B1314" t="str">
        <f>"961"</f>
        <v>961</v>
      </c>
      <c r="C1314" t="str">
        <f>"Trabalhadores da recuperação de resíduos "</f>
        <v>Trabalhadores da recuperação de resíduos </v>
      </c>
    </row>
    <row r="1315" spans="1:3" ht="15">
      <c r="A1315">
        <v>4</v>
      </c>
      <c r="B1315" t="str">
        <f>"9611"</f>
        <v>9611</v>
      </c>
      <c r="C1315" t="str">
        <f>"Trabalhador da recolha de resíduos"</f>
        <v>Trabalhador da recolha de resíduos</v>
      </c>
    </row>
    <row r="1316" spans="1:3" ht="15">
      <c r="A1316">
        <v>5</v>
      </c>
      <c r="B1316" t="str">
        <f>"9611.0"</f>
        <v>9611.0</v>
      </c>
      <c r="C1316" t="str">
        <f>"Trabalhador da recolha de resíduos"</f>
        <v>Trabalhador da recolha de resíduos</v>
      </c>
    </row>
    <row r="1317" spans="1:3" ht="15">
      <c r="A1317">
        <v>4</v>
      </c>
      <c r="B1317" t="str">
        <f>"9612"</f>
        <v>9612</v>
      </c>
      <c r="C1317" t="str">
        <f>"Trabalhador da triagem de resíduos"</f>
        <v>Trabalhador da triagem de resíduos</v>
      </c>
    </row>
    <row r="1318" spans="1:3" ht="15">
      <c r="A1318">
        <v>5</v>
      </c>
      <c r="B1318" t="str">
        <f>"9612.0"</f>
        <v>9612.0</v>
      </c>
      <c r="C1318" t="str">
        <f>"Trabalhador da triagem de resíduos"</f>
        <v>Trabalhador da triagem de resíduos</v>
      </c>
    </row>
    <row r="1319" spans="1:3" ht="15">
      <c r="A1319">
        <v>4</v>
      </c>
      <c r="B1319" t="str">
        <f>"9613"</f>
        <v>9613</v>
      </c>
      <c r="C1319" t="str">
        <f>"Cantoneiros de limpeza, empregados de lavabos e similares"</f>
        <v>Cantoneiros de limpeza, empregados de lavabos e similares</v>
      </c>
    </row>
    <row r="1320" spans="1:3" ht="15">
      <c r="A1320">
        <v>5</v>
      </c>
      <c r="B1320" t="str">
        <f>"9613.1"</f>
        <v>9613.1</v>
      </c>
      <c r="C1320" t="str">
        <f>"Cantoneiro de limpeza"</f>
        <v>Cantoneiro de limpeza</v>
      </c>
    </row>
    <row r="1321" spans="1:3" ht="15">
      <c r="A1321">
        <v>5</v>
      </c>
      <c r="B1321" t="str">
        <f>"9613.2"</f>
        <v>9613.2</v>
      </c>
      <c r="C1321" t="str">
        <f>"Empregado de lavabos e similares"</f>
        <v>Empregado de lavabos e similares</v>
      </c>
    </row>
    <row r="1322" spans="1:3" ht="15">
      <c r="A1322">
        <v>3</v>
      </c>
      <c r="B1322" t="str">
        <f>"962"</f>
        <v>962</v>
      </c>
      <c r="C1322" t="str">
        <f>"Outras profissões elementares"</f>
        <v>Outras profissões elementares</v>
      </c>
    </row>
    <row r="1323" spans="1:3" ht="15">
      <c r="A1323">
        <v>4</v>
      </c>
      <c r="B1323" t="str">
        <f>"9621"</f>
        <v>9621</v>
      </c>
      <c r="C1323" t="str">
        <f>"Estafetas, bagageiros e distribuidores "</f>
        <v>Estafetas, bagageiros e distribuidores </v>
      </c>
    </row>
    <row r="1324" spans="1:3" ht="15">
      <c r="A1324">
        <v>5</v>
      </c>
      <c r="B1324" t="str">
        <f>"9621.1"</f>
        <v>9621.1</v>
      </c>
      <c r="C1324" t="str">
        <f>"Estafeta"</f>
        <v>Estafeta</v>
      </c>
    </row>
    <row r="1325" spans="1:3" ht="15">
      <c r="A1325">
        <v>5</v>
      </c>
      <c r="B1325" t="str">
        <f>"9621.2"</f>
        <v>9621.2</v>
      </c>
      <c r="C1325" t="str">
        <f>"Bagageiro "</f>
        <v>Bagageiro </v>
      </c>
    </row>
    <row r="1326" spans="1:3" ht="15">
      <c r="A1326">
        <v>5</v>
      </c>
      <c r="B1326" t="str">
        <f>"9621.3"</f>
        <v>9621.3</v>
      </c>
      <c r="C1326" t="str">
        <f>"Auxiliar de apoio administrativo (contínuo)"</f>
        <v>Auxiliar de apoio administrativo (contínuo)</v>
      </c>
    </row>
    <row r="1327" spans="1:3" ht="15">
      <c r="A1327">
        <v>5</v>
      </c>
      <c r="B1327" t="str">
        <f>"9621.4"</f>
        <v>9621.4</v>
      </c>
      <c r="C1327" t="str">
        <f>"Distribuidor de mercadorias e similares"</f>
        <v>Distribuidor de mercadorias e similares</v>
      </c>
    </row>
    <row r="1328" spans="1:3" ht="15">
      <c r="A1328">
        <v>4</v>
      </c>
      <c r="B1328" t="str">
        <f>"9622"</f>
        <v>9622</v>
      </c>
      <c r="C1328" t="str">
        <f>"Trabalhadores polivalentes"</f>
        <v>Trabalhadores polivalentes</v>
      </c>
    </row>
    <row r="1329" spans="1:3" ht="15">
      <c r="A1329">
        <v>5</v>
      </c>
      <c r="B1329" t="str">
        <f>"9622.1"</f>
        <v>9622.1</v>
      </c>
      <c r="C1329" t="str">
        <f>"Colocador de anúncios (montador de anúncios) "</f>
        <v>Colocador de anúncios (montador de anúncios) </v>
      </c>
    </row>
    <row r="1330" spans="1:3" ht="15">
      <c r="A1330">
        <v>5</v>
      </c>
      <c r="B1330" t="str">
        <f>"9622.2"</f>
        <v>9622.2</v>
      </c>
      <c r="C1330" t="str">
        <f>"Outros trabalhadores polivalentes"</f>
        <v>Outros trabalhadores polivalentes</v>
      </c>
    </row>
    <row r="1331" spans="1:3" ht="15">
      <c r="A1331">
        <v>4</v>
      </c>
      <c r="B1331" t="str">
        <f>"9623"</f>
        <v>9623</v>
      </c>
      <c r="C1331" t="str">
        <f>"Leitores de contadores e colectores de dinheiro, em máquinas de venda automática, parquímetros e similares"</f>
        <v>Leitores de contadores e colectores de dinheiro, em máquinas de venda automática, parquímetros e similares</v>
      </c>
    </row>
    <row r="1332" spans="1:3" ht="15">
      <c r="A1332">
        <v>5</v>
      </c>
      <c r="B1332" t="str">
        <f>"9623.1"</f>
        <v>9623.1</v>
      </c>
      <c r="C1332" t="str">
        <f>"Leitor de contadores"</f>
        <v>Leitor de contadores</v>
      </c>
    </row>
    <row r="1333" spans="1:3" ht="15">
      <c r="A1333">
        <v>5</v>
      </c>
      <c r="B1333" t="str">
        <f>"9623.2"</f>
        <v>9623.2</v>
      </c>
      <c r="C1333" t="str">
        <f>"Colector de dinheiro em máquinas de venda automática, parquímetros e similares"</f>
        <v>Colector de dinheiro em máquinas de venda automática, parquímetros e similares</v>
      </c>
    </row>
    <row r="1334" spans="1:3" ht="15">
      <c r="A1334">
        <v>4</v>
      </c>
      <c r="B1334" t="str">
        <f>"9624"</f>
        <v>9624</v>
      </c>
      <c r="C1334" t="str">
        <f>"Carregador de água e apanhador de lenha"</f>
        <v>Carregador de água e apanhador de lenha</v>
      </c>
    </row>
    <row r="1335" spans="1:3" ht="15">
      <c r="A1335">
        <v>5</v>
      </c>
      <c r="B1335" t="str">
        <f>"9624.0"</f>
        <v>9624.0</v>
      </c>
      <c r="C1335" t="str">
        <f>"Carregador de água e apanhador de lenha"</f>
        <v>Carregador de água e apanhador de lenha</v>
      </c>
    </row>
    <row r="1336" spans="1:3" ht="15">
      <c r="A1336">
        <v>4</v>
      </c>
      <c r="B1336" t="str">
        <f>"9629"</f>
        <v>9629</v>
      </c>
      <c r="C1336" t="str">
        <f>"Outras profissões elementares, n.e. "</f>
        <v>Outras profissões elementares, n.e. </v>
      </c>
    </row>
    <row r="1337" spans="1:3" ht="15">
      <c r="A1337">
        <v>5</v>
      </c>
      <c r="B1337" t="str">
        <f>"9629.1"</f>
        <v>9629.1</v>
      </c>
      <c r="C1337" t="str">
        <f>"Coveiro"</f>
        <v>Coveiro</v>
      </c>
    </row>
    <row r="1338" spans="1:3" ht="15">
      <c r="A1338">
        <v>5</v>
      </c>
      <c r="B1338" t="str">
        <f>"9629.2"</f>
        <v>9629.2</v>
      </c>
      <c r="C1338" t="str">
        <f>"Outras profissões elementares diversas, n.e."</f>
        <v>Outras profissões elementares diversas, n.e.</v>
      </c>
    </row>
  </sheetData>
  <sheetProtection/>
  <hyperlinks>
    <hyperlink ref="B3" r:id="rId1" display="http://www.ine.p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Fernanda Teixeira</cp:lastModifiedBy>
  <dcterms:created xsi:type="dcterms:W3CDTF">2011-06-29T18:05:32Z</dcterms:created>
  <dcterms:modified xsi:type="dcterms:W3CDTF">2011-06-29T18:05:33Z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